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20" windowWidth="6825" windowHeight="5130" tabRatio="727" activeTab="6"/>
  </bookViews>
  <sheets>
    <sheet name="Detalle ing.proyectados OSN" sheetId="1" r:id="rId1"/>
    <sheet name="osn" sheetId="2" r:id="rId2"/>
    <sheet name="INM" sheetId="3" r:id="rId3"/>
    <sheet name="in-coro" sheetId="4" r:id="rId4"/>
    <sheet name="in-lirica" sheetId="5" r:id="rId5"/>
    <sheet name="res-ing ANEXI" sheetId="6" r:id="rId6"/>
    <sheet name="res-ing detalle" sheetId="7" r:id="rId7"/>
    <sheet name="COMPARATIVO INGRESOS(si)ANE (2" sheetId="8" state="hidden" r:id="rId8"/>
    <sheet name="Histórica Ingresos ANEX2 (2)" sheetId="9" state="hidden" r:id="rId9"/>
  </sheets>
  <definedNames>
    <definedName name="_xlnm.Print_Area" localSheetId="7">'COMPARATIVO INGRESOS(si)ANE (2'!$A$1:$K$56</definedName>
    <definedName name="_xlnm.Print_Area" localSheetId="8">'Histórica Ingresos ANEX2 (2)'!$A$1:$L$49</definedName>
    <definedName name="_xlnm.Print_Area" localSheetId="3">'in-coro'!$A$1:$D$28</definedName>
    <definedName name="_xlnm.Print_Area" localSheetId="4">'in-lirica'!$A$1:$D$37</definedName>
    <definedName name="_xlnm.Print_Area" localSheetId="2">'INM'!$A$1:$D$27</definedName>
    <definedName name="_xlnm.Print_Area" localSheetId="5">'res-ing ANEXI'!$A$1:$E$33</definedName>
    <definedName name="_xlnm.Print_Area" localSheetId="6">'res-ing detalle'!$A$1:$F$34</definedName>
  </definedNames>
  <calcPr fullCalcOnLoad="1"/>
</workbook>
</file>

<file path=xl/sharedStrings.xml><?xml version="1.0" encoding="utf-8"?>
<sst xmlns="http://schemas.openxmlformats.org/spreadsheetml/2006/main" count="404" uniqueCount="168">
  <si>
    <t>OSN</t>
  </si>
  <si>
    <t>CORO</t>
  </si>
  <si>
    <t>CLN</t>
  </si>
  <si>
    <t>TRANSFERENCIAS CORRIENTES</t>
  </si>
  <si>
    <t>PARTIDAS Y SUBPARTIDAS</t>
  </si>
  <si>
    <t>INGRESOS CORRIENTES</t>
  </si>
  <si>
    <t>INGRESOS NO TRIBUTARIOS</t>
  </si>
  <si>
    <t>VENTA DE BIENES Y SERVICIOS</t>
  </si>
  <si>
    <t>VENTA DE OTROS BIENES</t>
  </si>
  <si>
    <t>VENTA DE FUNCIONES PER.ANTERIORES</t>
  </si>
  <si>
    <t>VENTA DE OTROS SERVICIOS</t>
  </si>
  <si>
    <t>INGRESOS DE LA PROPIEDAD</t>
  </si>
  <si>
    <t>RENTA DE FACTORES PROD. Y FINANCIEROS</t>
  </si>
  <si>
    <t>INTERESES SOBRE BONOS DEL GOB. CENTRAL</t>
  </si>
  <si>
    <t>DERECHOS Y TASAS ADMINISTRATIVAS</t>
  </si>
  <si>
    <t>OTROS INGRESOS NO TRIBUTARIOS</t>
  </si>
  <si>
    <t>REINTEGROS EN EFECTIVO</t>
  </si>
  <si>
    <t>DEL GOBIERNO CENTRAL</t>
  </si>
  <si>
    <t>DE INST. PUB. DE SERVICIO</t>
  </si>
  <si>
    <t>(T.N.Imp.esp.púb.)</t>
  </si>
  <si>
    <t>(Museo Nac. Ley 7108)</t>
  </si>
  <si>
    <t>DEL SECTOR PRIVADO</t>
  </si>
  <si>
    <t>TRANSF.CORRIENTES DE EJ.ANTERIORES</t>
  </si>
  <si>
    <t>Museo Nacional Ley 7108</t>
  </si>
  <si>
    <t>INGRESOS DE CAPITAL</t>
  </si>
  <si>
    <t>RECURSOS DE VIGENCIAS ANTERIORES</t>
  </si>
  <si>
    <t>SUPERÁVIT</t>
  </si>
  <si>
    <t>INM</t>
  </si>
  <si>
    <t>(EN MILES DE COLONES)</t>
  </si>
  <si>
    <t>INGRESOS</t>
  </si>
  <si>
    <t>MONTO</t>
  </si>
  <si>
    <t>%</t>
  </si>
  <si>
    <t>TOTAL DE INGRESOS</t>
  </si>
  <si>
    <t>Teatro Nacional (Imp.Espec.Públicos)</t>
  </si>
  <si>
    <t>CUADRO COMPARATIVO DE INGRESOS</t>
  </si>
  <si>
    <t>INGRESOS VARIOS NO ESPECIFICOS</t>
  </si>
  <si>
    <t>TOTALES</t>
  </si>
  <si>
    <t xml:space="preserve">     Ingresos corrientes</t>
  </si>
  <si>
    <t xml:space="preserve">          Ingresos no tributarios</t>
  </si>
  <si>
    <r>
      <t xml:space="preserve">     </t>
    </r>
    <r>
      <rPr>
        <b/>
        <sz val="10"/>
        <rFont val="Arial"/>
        <family val="2"/>
      </rPr>
      <t>Otros ingresos no tributarios</t>
    </r>
  </si>
  <si>
    <t xml:space="preserve">          Del Gobierno Central</t>
  </si>
  <si>
    <r>
      <t xml:space="preserve">     </t>
    </r>
    <r>
      <rPr>
        <b/>
        <sz val="10"/>
        <rFont val="Arial"/>
        <family val="2"/>
      </rPr>
      <t>Transf. Corrientes de ejercicios anteriores</t>
    </r>
  </si>
  <si>
    <r>
      <t xml:space="preserve">     </t>
    </r>
    <r>
      <rPr>
        <b/>
        <sz val="10"/>
        <rFont val="Arial"/>
        <family val="2"/>
      </rPr>
      <t>Ingresos de capital</t>
    </r>
  </si>
  <si>
    <t>% variación (a-b)/a</t>
  </si>
  <si>
    <t>% variación (b-c)/b</t>
  </si>
  <si>
    <t>CENTRO NACIONAL DE LA MUSICA</t>
  </si>
  <si>
    <t>CENTRO NACIONAL DE LA MÚSICA</t>
  </si>
  <si>
    <t>CENTRO NACIONAL DE LA MÙSICA</t>
  </si>
  <si>
    <t xml:space="preserve">De instituciones públicas de Servicios (Museo Nacional Ley 7108) </t>
  </si>
  <si>
    <t xml:space="preserve"> Venta de bienes y servicios</t>
  </si>
  <si>
    <t xml:space="preserve"> Venta de funciones períodos anteriores</t>
  </si>
  <si>
    <t xml:space="preserve">  Venta de discos</t>
  </si>
  <si>
    <t xml:space="preserve"> Venta de otros servicios</t>
  </si>
  <si>
    <r>
      <t xml:space="preserve"> </t>
    </r>
    <r>
      <rPr>
        <b/>
        <sz val="10"/>
        <rFont val="Arial"/>
        <family val="2"/>
      </rPr>
      <t>Ingresos de la propiedad</t>
    </r>
  </si>
  <si>
    <t>Renta de factores productivos y financieros</t>
  </si>
  <si>
    <t>Intereses sobre bonos del Gobierno C.</t>
  </si>
  <si>
    <t>Intereses sobre bonos del sector público</t>
  </si>
  <si>
    <t>Reintegros en efectivo</t>
  </si>
  <si>
    <t>Ingresos varios no específicos</t>
  </si>
  <si>
    <t xml:space="preserve">     Del Gobierno Central</t>
  </si>
  <si>
    <t>De instituciones públicas de servicio (Museo Nacional, Ley 7108)</t>
  </si>
  <si>
    <t>De empresas públicas financieras</t>
  </si>
  <si>
    <t>Banco Nacional de Costa Rica</t>
  </si>
  <si>
    <t>Del sector privado</t>
  </si>
  <si>
    <t>Del sector externo</t>
  </si>
  <si>
    <t>ORQUESTA SINFONICA NACIONAL</t>
  </si>
  <si>
    <t>TEATRO NACIONAL PRECIO POR BOLETO</t>
  </si>
  <si>
    <t>BUTACA</t>
  </si>
  <si>
    <t>LUNETA</t>
  </si>
  <si>
    <t>GALERÌA 1A FILA</t>
  </si>
  <si>
    <t>GALERIA CENTRAL</t>
  </si>
  <si>
    <t>GALERIA LATERAL</t>
  </si>
  <si>
    <t>INGRESOS PRESUPUESTADOS</t>
  </si>
  <si>
    <t>1.0.0.0.00.00.0.0.000</t>
  </si>
  <si>
    <t>1.3.0.0.00.00.0.0.000</t>
  </si>
  <si>
    <t>1.3.1.0.00.00.0.0.000</t>
  </si>
  <si>
    <t>1.3.1.2.09.00.0.0.000</t>
  </si>
  <si>
    <t>OTROS SERVICIOS</t>
  </si>
  <si>
    <t>1.3.1.2.09.04.0.0.000</t>
  </si>
  <si>
    <t>Servicios culturales y recreativos</t>
  </si>
  <si>
    <t>1.3.1.3.00.00.0.0.000</t>
  </si>
  <si>
    <t>DERECHOS ADMINISTRATIVOS</t>
  </si>
  <si>
    <t>1.3.1.3.02.00.0.0.000</t>
  </si>
  <si>
    <t>DERECHOS ADMINISTRATIVOS A OTROS SERVICIOS PÙBLICOS</t>
  </si>
  <si>
    <t>1.3.1.3.02.02.0.0.000</t>
  </si>
  <si>
    <t>Derechos administrativos a los servicios de educaciòn</t>
  </si>
  <si>
    <t>1.4.0.0.00.00.0.0.000</t>
  </si>
  <si>
    <t>1.4.1.0.00.00.0.0.000</t>
  </si>
  <si>
    <t>TRANSFERENCIAS CORRIENTES DEL SECTOR PÚBLICO</t>
  </si>
  <si>
    <t>1.4.1.1.00.00.0.0.000</t>
  </si>
  <si>
    <t>Transferencias corrientes del Gobierno Central</t>
  </si>
  <si>
    <t>1.4.1.2.00.00.0.0.000</t>
  </si>
  <si>
    <t>Transferencias corrientes de  Órganos Desconcentrados</t>
  </si>
  <si>
    <t>PALCO PLATEA</t>
  </si>
  <si>
    <t>PALCO PRINCIPAL (1 AL 5)</t>
  </si>
  <si>
    <t>PALCO PRINCIPAL (6 AL 10)</t>
  </si>
  <si>
    <t>=</t>
  </si>
  <si>
    <t>VALOR PROMEDIO POR BOLETO (redondeado a)</t>
  </si>
  <si>
    <t>1,3,1,0,00,00,0,0,000</t>
  </si>
  <si>
    <t>1,3,1,1,09,00,0,0,000</t>
  </si>
  <si>
    <t>1,3,2,0,00,00,0,0,000</t>
  </si>
  <si>
    <t>1,3,1,3,02,00,0,0,000</t>
  </si>
  <si>
    <t xml:space="preserve">Derechos administrativos y otros 
servicios públicos </t>
  </si>
  <si>
    <t>1,3,1,3,02,02,0,0,000</t>
  </si>
  <si>
    <t>Derechos administrativos a los servicios
 de la educación</t>
  </si>
  <si>
    <t>1,3,9,0,00,00,0,0,000</t>
  </si>
  <si>
    <t>1,3,9,1,00,00,0,0,000</t>
  </si>
  <si>
    <t>1,3,9,9,00,00,0,0,000</t>
  </si>
  <si>
    <r>
      <t xml:space="preserve">     </t>
    </r>
    <r>
      <rPr>
        <b/>
        <sz val="10"/>
        <rFont val="Arial"/>
        <family val="2"/>
      </rPr>
      <t xml:space="preserve">Transferencias corrientes del sector público </t>
    </r>
  </si>
  <si>
    <t>1,4,1,0,00,00,0,0,000</t>
  </si>
  <si>
    <t>1,4,1,1,00,00,0,0,000</t>
  </si>
  <si>
    <t>1,4,1,5,00,00,0,0,000</t>
  </si>
  <si>
    <t>De Instituciones Públicas no financieras (Teatro Nacional, Imp. Espect. Públicos)</t>
  </si>
  <si>
    <t xml:space="preserve">          De instituciones públicas no financieras (Teatro Nacional, Imp. Espect. Públicos)</t>
  </si>
  <si>
    <t>2,0,0,0,00,00,0,0,000</t>
  </si>
  <si>
    <t>3,3,1,0,00,00,0,0,000</t>
  </si>
  <si>
    <t>3,3,2,0,00,00,0,0,000</t>
  </si>
  <si>
    <t>Superavit específico</t>
  </si>
  <si>
    <t>Superavit libre</t>
  </si>
  <si>
    <t>1,3,0,0,00,00,0,0,000</t>
  </si>
  <si>
    <t>10,0,0,00,00,0,0,000</t>
  </si>
  <si>
    <t>1.3.2.0.00.00.0.0.000</t>
  </si>
  <si>
    <t>1.3.2.3.00.00.0.0.000</t>
  </si>
  <si>
    <t>1.3.2.3.01.01.0.0.000</t>
  </si>
  <si>
    <t>1.3.9.0.00.00.0.0.000</t>
  </si>
  <si>
    <t>1.3.9.1.00.00.0.0.000</t>
  </si>
  <si>
    <t>1.3.9.9.00.00.0.0.000</t>
  </si>
  <si>
    <t>1.4.2.0.00.00.0.0.000</t>
  </si>
  <si>
    <t>1.4.2.0.0.00.00.0.0.000</t>
  </si>
  <si>
    <t>1,3,1,2,09,04,0,,0,000</t>
  </si>
  <si>
    <t>Servicios culturales y recreaitvos</t>
  </si>
  <si>
    <t xml:space="preserve">  Venta de otros bienes </t>
  </si>
  <si>
    <t>1,3,1,2,09,04,0,0,000</t>
  </si>
  <si>
    <t>SERVICIOS CULTURALES Y RECREATIVOS</t>
  </si>
  <si>
    <t xml:space="preserve">TRANSFERENCIAS CORRIENTES </t>
  </si>
  <si>
    <t>reales a junio</t>
  </si>
  <si>
    <t xml:space="preserve"> </t>
  </si>
  <si>
    <t>DETALLE</t>
  </si>
  <si>
    <t>Cuotas de escolaridad del INM</t>
  </si>
  <si>
    <t>Ley de presupuesto de la República</t>
  </si>
  <si>
    <t>Impuestos a Espec. Púb. Ley 5780, Teatro Nacional</t>
  </si>
  <si>
    <t>3.3.0.0.00.00.0.0.000</t>
  </si>
  <si>
    <t>Recurso De Vigencias Anteriores</t>
  </si>
  <si>
    <t>3.3.1.0.00.00.0.0.000</t>
  </si>
  <si>
    <t>Superavit Libre</t>
  </si>
  <si>
    <t>3.3.2.0.00.00.0.0.000</t>
  </si>
  <si>
    <t>Superavit Específico</t>
  </si>
  <si>
    <t>Superávit de vigencias anteriores</t>
  </si>
  <si>
    <t>INGRESOS PROYECTADOS X 24 CONCIERTOS TEMPORADA OFICIAL</t>
  </si>
  <si>
    <t>ASISTENCIA PROMEDIO/CONCIERTO TEMPORADA OFICIAL</t>
  </si>
  <si>
    <t>ASISTENCIA PROMEDIO CONCIERTO ESPECIAL</t>
  </si>
  <si>
    <t>(EN MIlLES DE COLONES)</t>
  </si>
  <si>
    <t>INGRESOS CONCIERTOS ESPECIALES X 5</t>
  </si>
  <si>
    <t xml:space="preserve">DEREC ADTIVOS A SERVIC DE EDUCACION </t>
  </si>
  <si>
    <t>PROYECCION DE INGRESOS POR VENTA DE BOLETOS</t>
  </si>
  <si>
    <t>PRESUPUESTO ORDINARIO 2018</t>
  </si>
  <si>
    <t>Venta de taquilla a conciertos y presentaciones de la OSN, Ópera CLN</t>
  </si>
  <si>
    <t>Presupuesto año 2018(a)</t>
  </si>
  <si>
    <t>Ingresos reales a junio 2017
Proyectados a Dic.2017 (b)</t>
  </si>
  <si>
    <t>Ingresos reales año 2016( c )</t>
  </si>
  <si>
    <t>SERIE HISTORICA DE INGRESOS EFECTIVOS AÑOS 2016-2012</t>
  </si>
  <si>
    <t>1.3.1.2.04.00.0.0.000</t>
  </si>
  <si>
    <t>ALQUILERES</t>
  </si>
  <si>
    <t>Alquiler de edificios e instalaciones</t>
  </si>
  <si>
    <t>1.3.1.2.04.01.0.0.000</t>
  </si>
  <si>
    <t>PRESUPUESTO ORDINARIO 2019</t>
  </si>
  <si>
    <t>Alquiler del local para la Soda en la institución</t>
  </si>
  <si>
    <t>Ingresos servicios culturales calculados según  taquilla ópera Don Giovanni 2018</t>
  </si>
</sst>
</file>

<file path=xl/styles.xml><?xml version="1.0" encoding="utf-8"?>
<styleSheet xmlns="http://schemas.openxmlformats.org/spreadsheetml/2006/main">
  <numFmts count="31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¢&quot;_-;\-* #,##0\ &quot;¢&quot;_-;_-* &quot;-&quot;\ &quot;¢&quot;_-;_-@_-"/>
    <numFmt numFmtId="173" formatCode="_-* #,##0\ _¢_-;\-* #,##0\ _¢_-;_-* &quot;-&quot;\ _¢_-;_-@_-"/>
    <numFmt numFmtId="174" formatCode="_-* #,##0.00\ &quot;¢&quot;_-;\-* #,##0.00\ &quot;¢&quot;_-;_-* &quot;-&quot;??\ &quot;¢&quot;_-;_-@_-"/>
    <numFmt numFmtId="175" formatCode="_-* #,##0.00\ _¢_-;\-* #,##0.00\ _¢_-;_-* &quot;-&quot;??\ _¢_-;_-@_-"/>
    <numFmt numFmtId="176" formatCode="[$¢-440A]#,##0"/>
    <numFmt numFmtId="177" formatCode="[$₡-140A]#,##0.00"/>
    <numFmt numFmtId="178" formatCode="&quot;₡&quot;#,##0.00"/>
    <numFmt numFmtId="179" formatCode="[$-140A]dddd\,\ dd&quot; de &quot;mmmm&quot; de &quot;yyyy"/>
    <numFmt numFmtId="180" formatCode="[$-140A]hh:mm:ss\ AM/PM"/>
    <numFmt numFmtId="181" formatCode="0.000"/>
    <numFmt numFmtId="182" formatCode="0.0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u val="single"/>
      <sz val="14"/>
      <color indexed="8"/>
      <name val="Arial"/>
      <family val="2"/>
    </font>
    <font>
      <u val="single"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3" fontId="11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wrapText="1"/>
    </xf>
    <xf numFmtId="4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 wrapText="1"/>
    </xf>
    <xf numFmtId="175" fontId="0" fillId="0" borderId="0" xfId="48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0" fillId="0" borderId="0" xfId="0" applyNumberFormat="1" applyFill="1" applyAlignment="1">
      <alignment horizontal="center"/>
    </xf>
    <xf numFmtId="175" fontId="0" fillId="0" borderId="0" xfId="48" applyFont="1" applyFill="1" applyBorder="1" applyAlignment="1">
      <alignment horizontal="left" wrapText="1"/>
    </xf>
    <xf numFmtId="3" fontId="9" fillId="0" borderId="0" xfId="0" applyNumberFormat="1" applyFont="1" applyFill="1" applyAlignment="1">
      <alignment/>
    </xf>
    <xf numFmtId="43" fontId="0" fillId="0" borderId="0" xfId="0" applyNumberFormat="1" applyFont="1" applyFill="1" applyBorder="1" applyAlignment="1">
      <alignment horizontal="left" wrapText="1"/>
    </xf>
    <xf numFmtId="175" fontId="0" fillId="0" borderId="0" xfId="48" applyFont="1" applyFill="1" applyAlignment="1">
      <alignment wrapText="1"/>
    </xf>
    <xf numFmtId="176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0" fillId="0" borderId="12" xfId="0" applyFill="1" applyBorder="1" applyAlignment="1">
      <alignment horizontal="left" vertical="top"/>
    </xf>
    <xf numFmtId="4" fontId="1" fillId="0" borderId="13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75" fontId="0" fillId="0" borderId="0" xfId="0" applyNumberFormat="1" applyFill="1" applyAlignment="1">
      <alignment/>
    </xf>
    <xf numFmtId="4" fontId="0" fillId="0" borderId="12" xfId="0" applyNumberFormat="1" applyFill="1" applyBorder="1" applyAlignment="1">
      <alignment horizontal="center" vertical="top"/>
    </xf>
    <xf numFmtId="0" fontId="0" fillId="0" borderId="15" xfId="0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4" fontId="0" fillId="0" borderId="17" xfId="0" applyNumberFormat="1" applyFill="1" applyBorder="1" applyAlignment="1">
      <alignment horizontal="center" vertical="top"/>
    </xf>
    <xf numFmtId="0" fontId="0" fillId="0" borderId="13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 wrapText="1" shrinkToFit="1"/>
    </xf>
    <xf numFmtId="0" fontId="1" fillId="0" borderId="13" xfId="0" applyFont="1" applyFill="1" applyBorder="1" applyAlignment="1">
      <alignment horizontal="center"/>
    </xf>
    <xf numFmtId="175" fontId="7" fillId="0" borderId="13" xfId="48" applyFont="1" applyFill="1" applyBorder="1" applyAlignment="1">
      <alignment horizontal="center"/>
    </xf>
    <xf numFmtId="43" fontId="0" fillId="0" borderId="0" xfId="0" applyNumberFormat="1" applyFill="1" applyAlignment="1">
      <alignment/>
    </xf>
    <xf numFmtId="4" fontId="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 horizontal="center" wrapText="1"/>
    </xf>
    <xf numFmtId="4" fontId="10" fillId="0" borderId="18" xfId="0" applyNumberFormat="1" applyFont="1" applyFill="1" applyBorder="1" applyAlignment="1">
      <alignment/>
    </xf>
    <xf numFmtId="4" fontId="10" fillId="0" borderId="19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75" fontId="0" fillId="0" borderId="0" xfId="48" applyFont="1" applyFill="1" applyAlignment="1">
      <alignment/>
    </xf>
    <xf numFmtId="0" fontId="0" fillId="0" borderId="27" xfId="0" applyFill="1" applyBorder="1" applyAlignment="1">
      <alignment/>
    </xf>
    <xf numFmtId="0" fontId="0" fillId="0" borderId="25" xfId="0" applyFill="1" applyBorder="1" applyAlignment="1">
      <alignment horizontal="left" vertical="top"/>
    </xf>
    <xf numFmtId="0" fontId="0" fillId="0" borderId="28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 wrapText="1"/>
    </xf>
    <xf numFmtId="4" fontId="11" fillId="0" borderId="0" xfId="0" applyNumberFormat="1" applyFont="1" applyFill="1" applyAlignment="1">
      <alignment/>
    </xf>
    <xf numFmtId="10" fontId="10" fillId="0" borderId="18" xfId="0" applyNumberFormat="1" applyFont="1" applyFill="1" applyBorder="1" applyAlignment="1">
      <alignment/>
    </xf>
    <xf numFmtId="49" fontId="15" fillId="0" borderId="18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2" fontId="10" fillId="0" borderId="18" xfId="0" applyNumberFormat="1" applyFont="1" applyFill="1" applyBorder="1" applyAlignment="1">
      <alignment/>
    </xf>
    <xf numFmtId="49" fontId="16" fillId="0" borderId="18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center" wrapText="1"/>
    </xf>
    <xf numFmtId="3" fontId="10" fillId="0" borderId="18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 wrapText="1"/>
    </xf>
    <xf numFmtId="0" fontId="13" fillId="0" borderId="18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7" fillId="0" borderId="0" xfId="0" applyFont="1" applyFill="1" applyAlignment="1">
      <alignment/>
    </xf>
    <xf numFmtId="49" fontId="16" fillId="0" borderId="19" xfId="0" applyNumberFormat="1" applyFont="1" applyFill="1" applyBorder="1" applyAlignment="1">
      <alignment/>
    </xf>
    <xf numFmtId="0" fontId="14" fillId="0" borderId="19" xfId="0" applyFont="1" applyFill="1" applyBorder="1" applyAlignment="1">
      <alignment/>
    </xf>
    <xf numFmtId="2" fontId="10" fillId="0" borderId="19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49" fontId="16" fillId="0" borderId="20" xfId="0" applyNumberFormat="1" applyFont="1" applyFill="1" applyBorder="1" applyAlignment="1">
      <alignment/>
    </xf>
    <xf numFmtId="0" fontId="10" fillId="0" borderId="20" xfId="0" applyFont="1" applyFill="1" applyBorder="1" applyAlignment="1">
      <alignment/>
    </xf>
    <xf numFmtId="2" fontId="10" fillId="0" borderId="20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2" fontId="8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Alignment="1">
      <alignment/>
    </xf>
    <xf numFmtId="4" fontId="1" fillId="0" borderId="13" xfId="0" applyNumberFormat="1" applyFont="1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175" fontId="1" fillId="0" borderId="13" xfId="0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 vertical="top"/>
    </xf>
    <xf numFmtId="175" fontId="0" fillId="0" borderId="30" xfId="48" applyFont="1" applyFill="1" applyBorder="1" applyAlignment="1">
      <alignment horizontal="center" vertical="top"/>
    </xf>
    <xf numFmtId="175" fontId="0" fillId="0" borderId="12" xfId="48" applyFont="1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 wrapText="1" shrinkToFit="1"/>
    </xf>
    <xf numFmtId="0" fontId="1" fillId="0" borderId="31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 wrapText="1"/>
    </xf>
    <xf numFmtId="175" fontId="0" fillId="0" borderId="17" xfId="48" applyFont="1" applyFill="1" applyBorder="1" applyAlignment="1">
      <alignment horizontal="center" vertical="top"/>
    </xf>
    <xf numFmtId="0" fontId="7" fillId="0" borderId="13" xfId="48" applyNumberFormat="1" applyFont="1" applyFill="1" applyBorder="1" applyAlignment="1" quotePrefix="1">
      <alignment horizontal="center"/>
    </xf>
    <xf numFmtId="175" fontId="0" fillId="0" borderId="15" xfId="48" applyFont="1" applyFill="1" applyBorder="1" applyAlignment="1">
      <alignment horizontal="center" vertical="top"/>
    </xf>
    <xf numFmtId="175" fontId="1" fillId="0" borderId="13" xfId="48" applyFont="1" applyFill="1" applyBorder="1" applyAlignment="1">
      <alignment horizontal="center" vertical="top" wrapText="1"/>
    </xf>
    <xf numFmtId="4" fontId="0" fillId="0" borderId="30" xfId="0" applyNumberForma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43" fontId="1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9" fillId="0" borderId="18" xfId="0" applyFont="1" applyFill="1" applyBorder="1" applyAlignment="1">
      <alignment/>
    </xf>
    <xf numFmtId="4" fontId="19" fillId="0" borderId="18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175" fontId="0" fillId="0" borderId="0" xfId="48" applyFont="1" applyFill="1" applyAlignment="1">
      <alignment/>
    </xf>
    <xf numFmtId="175" fontId="1" fillId="0" borderId="0" xfId="48" applyFont="1" applyFill="1" applyAlignment="1">
      <alignment/>
    </xf>
    <xf numFmtId="175" fontId="1" fillId="0" borderId="14" xfId="48" applyFont="1" applyFill="1" applyBorder="1" applyAlignment="1">
      <alignment/>
    </xf>
    <xf numFmtId="175" fontId="1" fillId="0" borderId="15" xfId="48" applyFont="1" applyFill="1" applyBorder="1" applyAlignment="1">
      <alignment/>
    </xf>
    <xf numFmtId="175" fontId="0" fillId="0" borderId="12" xfId="48" applyFont="1" applyFill="1" applyBorder="1" applyAlignment="1">
      <alignment vertical="top"/>
    </xf>
    <xf numFmtId="175" fontId="0" fillId="0" borderId="15" xfId="48" applyFont="1" applyFill="1" applyBorder="1" applyAlignment="1">
      <alignment vertical="top"/>
    </xf>
    <xf numFmtId="175" fontId="0" fillId="0" borderId="32" xfId="48" applyFont="1" applyFill="1" applyBorder="1" applyAlignment="1">
      <alignment vertical="top"/>
    </xf>
    <xf numFmtId="175" fontId="1" fillId="0" borderId="13" xfId="48" applyFont="1" applyFill="1" applyBorder="1" applyAlignment="1">
      <alignment vertical="top" wrapText="1"/>
    </xf>
    <xf numFmtId="175" fontId="0" fillId="0" borderId="15" xfId="48" applyFont="1" applyFill="1" applyBorder="1" applyAlignment="1">
      <alignment vertical="top" wrapText="1"/>
    </xf>
    <xf numFmtId="175" fontId="0" fillId="0" borderId="12" xfId="48" applyFont="1" applyFill="1" applyBorder="1" applyAlignment="1">
      <alignment vertical="top" wrapText="1"/>
    </xf>
    <xf numFmtId="175" fontId="0" fillId="0" borderId="15" xfId="48" applyFont="1" applyFill="1" applyBorder="1" applyAlignment="1">
      <alignment vertical="top" wrapText="1" shrinkToFit="1"/>
    </xf>
    <xf numFmtId="175" fontId="0" fillId="0" borderId="0" xfId="48" applyFont="1" applyFill="1" applyBorder="1" applyAlignment="1">
      <alignment vertical="top"/>
    </xf>
    <xf numFmtId="175" fontId="0" fillId="0" borderId="18" xfId="48" applyFont="1" applyBorder="1" applyAlignment="1">
      <alignment/>
    </xf>
    <xf numFmtId="175" fontId="37" fillId="0" borderId="18" xfId="48" applyFont="1" applyBorder="1" applyAlignment="1">
      <alignment/>
    </xf>
    <xf numFmtId="43" fontId="1" fillId="0" borderId="13" xfId="0" applyNumberFormat="1" applyFont="1" applyFill="1" applyBorder="1" applyAlignment="1">
      <alignment vertical="top" wrapText="1"/>
    </xf>
    <xf numFmtId="0" fontId="0" fillId="0" borderId="29" xfId="0" applyFill="1" applyBorder="1" applyAlignment="1">
      <alignment horizontal="left" vertical="top"/>
    </xf>
    <xf numFmtId="0" fontId="0" fillId="0" borderId="28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/>
    </xf>
    <xf numFmtId="175" fontId="0" fillId="0" borderId="18" xfId="48" applyFont="1" applyFill="1" applyBorder="1" applyAlignment="1">
      <alignment vertical="top"/>
    </xf>
    <xf numFmtId="43" fontId="1" fillId="0" borderId="29" xfId="0" applyNumberFormat="1" applyFont="1" applyFill="1" applyBorder="1" applyAlignment="1">
      <alignment vertical="top" wrapText="1"/>
    </xf>
    <xf numFmtId="175" fontId="0" fillId="0" borderId="34" xfId="48" applyFont="1" applyFill="1" applyBorder="1" applyAlignment="1">
      <alignment vertical="top"/>
    </xf>
    <xf numFmtId="0" fontId="0" fillId="0" borderId="35" xfId="0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/>
    </xf>
    <xf numFmtId="175" fontId="7" fillId="0" borderId="36" xfId="48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/>
    </xf>
    <xf numFmtId="4" fontId="0" fillId="0" borderId="32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75" fontId="0" fillId="0" borderId="32" xfId="48" applyFont="1" applyFill="1" applyBorder="1" applyAlignment="1">
      <alignment horizontal="center" vertical="top"/>
    </xf>
    <xf numFmtId="175" fontId="0" fillId="0" borderId="12" xfId="48" applyFont="1" applyFill="1" applyBorder="1" applyAlignment="1">
      <alignment horizontal="center" vertical="top" wrapText="1"/>
    </xf>
    <xf numFmtId="175" fontId="0" fillId="0" borderId="0" xfId="48" applyFont="1" applyFill="1" applyAlignment="1">
      <alignment horizontal="center"/>
    </xf>
    <xf numFmtId="175" fontId="0" fillId="0" borderId="18" xfId="48" applyFont="1" applyFill="1" applyBorder="1" applyAlignment="1">
      <alignment horizontal="center" vertical="top"/>
    </xf>
    <xf numFmtId="4" fontId="0" fillId="0" borderId="12" xfId="0" applyNumberForma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/>
    </xf>
    <xf numFmtId="175" fontId="20" fillId="0" borderId="0" xfId="48" applyFont="1" applyFill="1" applyAlignment="1">
      <alignment wrapText="1"/>
    </xf>
    <xf numFmtId="175" fontId="0" fillId="0" borderId="0" xfId="48" applyFont="1" applyBorder="1" applyAlignment="1">
      <alignment/>
    </xf>
    <xf numFmtId="3" fontId="0" fillId="0" borderId="0" xfId="0" applyNumberFormat="1" applyFont="1" applyFill="1" applyAlignment="1">
      <alignment vertical="center" wrapText="1"/>
    </xf>
    <xf numFmtId="0" fontId="0" fillId="0" borderId="37" xfId="0" applyFill="1" applyBorder="1" applyAlignment="1">
      <alignment horizontal="left" vertical="top" wrapText="1"/>
    </xf>
    <xf numFmtId="175" fontId="0" fillId="0" borderId="18" xfId="48" applyFont="1" applyFill="1" applyBorder="1" applyAlignment="1">
      <alignment vertical="top" wrapText="1"/>
    </xf>
    <xf numFmtId="175" fontId="0" fillId="0" borderId="35" xfId="48" applyFont="1" applyFill="1" applyBorder="1" applyAlignment="1">
      <alignment horizontal="right" vertical="top"/>
    </xf>
    <xf numFmtId="0" fontId="0" fillId="0" borderId="30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left" vertical="top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I29"/>
  <sheetViews>
    <sheetView showGridLines="0" zoomScalePageLayoutView="0" workbookViewId="0" topLeftCell="A1">
      <selection activeCell="D24" sqref="D24"/>
    </sheetView>
  </sheetViews>
  <sheetFormatPr defaultColWidth="11.421875" defaultRowHeight="12.75"/>
  <cols>
    <col min="1" max="1" width="26.57421875" style="1" customWidth="1"/>
    <col min="2" max="2" width="11.421875" style="1" customWidth="1"/>
    <col min="3" max="3" width="19.00390625" style="1" customWidth="1"/>
    <col min="4" max="4" width="12.28125" style="1" bestFit="1" customWidth="1"/>
    <col min="5" max="5" width="12.7109375" style="16" bestFit="1" customWidth="1"/>
    <col min="6" max="7" width="11.421875" style="1" customWidth="1"/>
    <col min="8" max="8" width="16.57421875" style="1" bestFit="1" customWidth="1"/>
    <col min="9" max="16384" width="11.421875" style="1" customWidth="1"/>
  </cols>
  <sheetData>
    <row r="1" ht="12.75">
      <c r="A1" s="14" t="s">
        <v>46</v>
      </c>
    </row>
    <row r="2" ht="12.75">
      <c r="A2" s="17" t="s">
        <v>65</v>
      </c>
    </row>
    <row r="3" ht="12.75">
      <c r="A3" s="131" t="s">
        <v>165</v>
      </c>
    </row>
    <row r="4" ht="12.75">
      <c r="A4" s="1" t="s">
        <v>154</v>
      </c>
    </row>
    <row r="6" ht="12.75">
      <c r="A6" s="1" t="s">
        <v>66</v>
      </c>
    </row>
    <row r="8" spans="1:3" ht="12.75">
      <c r="A8" s="1" t="s">
        <v>67</v>
      </c>
      <c r="C8" s="77">
        <v>17850</v>
      </c>
    </row>
    <row r="9" spans="1:3" ht="12.75">
      <c r="A9" s="1" t="s">
        <v>68</v>
      </c>
      <c r="C9" s="77">
        <v>15750</v>
      </c>
    </row>
    <row r="10" spans="1:3" ht="12.75">
      <c r="A10" s="1" t="s">
        <v>93</v>
      </c>
      <c r="C10" s="77">
        <v>9450</v>
      </c>
    </row>
    <row r="11" spans="1:3" ht="12.75">
      <c r="A11" s="1" t="s">
        <v>94</v>
      </c>
      <c r="C11" s="77">
        <v>10500</v>
      </c>
    </row>
    <row r="12" spans="1:3" ht="12.75">
      <c r="A12" s="1" t="s">
        <v>95</v>
      </c>
      <c r="C12" s="77">
        <v>10500</v>
      </c>
    </row>
    <row r="13" spans="1:3" ht="12.75">
      <c r="A13" s="1" t="s">
        <v>69</v>
      </c>
      <c r="C13" s="77">
        <v>6300</v>
      </c>
    </row>
    <row r="14" spans="1:3" ht="12.75">
      <c r="A14" s="1" t="s">
        <v>70</v>
      </c>
      <c r="C14" s="77">
        <v>5250</v>
      </c>
    </row>
    <row r="15" spans="1:4" ht="12.75">
      <c r="A15" s="1" t="s">
        <v>71</v>
      </c>
      <c r="C15" s="77">
        <v>4200</v>
      </c>
      <c r="D15" s="58"/>
    </row>
    <row r="16" ht="12.75">
      <c r="D16" s="16"/>
    </row>
    <row r="17" spans="1:8" ht="12.75">
      <c r="A17" s="14" t="s">
        <v>97</v>
      </c>
      <c r="D17" s="16">
        <f>+(C15+C14+C13+C12+C11+C10+C9+C8)/8</f>
        <v>9975</v>
      </c>
      <c r="H17" s="77"/>
    </row>
    <row r="18" ht="12.75">
      <c r="H18" s="77"/>
    </row>
    <row r="19" spans="1:9" ht="12.75">
      <c r="A19" s="1" t="s">
        <v>149</v>
      </c>
      <c r="D19" s="1">
        <v>550</v>
      </c>
      <c r="G19" s="1" t="s">
        <v>136</v>
      </c>
      <c r="I19" s="180"/>
    </row>
    <row r="20" spans="1:9" ht="12.75">
      <c r="A20" s="1" t="s">
        <v>150</v>
      </c>
      <c r="D20" s="1">
        <f>+D19/2</f>
        <v>275</v>
      </c>
      <c r="I20" s="180"/>
    </row>
    <row r="21" ht="12.75">
      <c r="I21" s="180"/>
    </row>
    <row r="22" spans="1:9" ht="12.75">
      <c r="A22" s="1" t="s">
        <v>148</v>
      </c>
      <c r="D22" s="36">
        <f>+D19*D17*24</f>
        <v>131670000</v>
      </c>
      <c r="I22" s="180"/>
    </row>
    <row r="23" spans="1:9" ht="12.75">
      <c r="A23" s="1" t="s">
        <v>152</v>
      </c>
      <c r="D23" s="36">
        <f>+D20*D17*4</f>
        <v>10972500</v>
      </c>
      <c r="I23" s="180"/>
    </row>
    <row r="24" spans="1:9" ht="12.75">
      <c r="A24" s="1" t="s">
        <v>72</v>
      </c>
      <c r="D24" s="36">
        <f>SUM(D22:D23)</f>
        <v>142642500</v>
      </c>
      <c r="F24" s="37"/>
      <c r="I24" s="180"/>
    </row>
    <row r="25" ht="12.75">
      <c r="I25" s="180"/>
    </row>
    <row r="26" ht="12.75">
      <c r="I26" s="180"/>
    </row>
    <row r="29" ht="12.75">
      <c r="C29" s="77"/>
    </row>
  </sheetData>
  <sheetProtection/>
  <printOptions horizontalCentered="1" verticalCentered="1"/>
  <pageMargins left="0.7874015748031497" right="0.7874015748031497" top="0.984251968503937" bottom="0.984251968503937" header="0" footer="1.4566929133858268"/>
  <pageSetup firstPageNumber="21" useFirstPageNumber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H427"/>
  <sheetViews>
    <sheetView showGridLines="0" zoomScalePageLayoutView="0" workbookViewId="0" topLeftCell="A1">
      <selection activeCell="C20" sqref="C20"/>
    </sheetView>
  </sheetViews>
  <sheetFormatPr defaultColWidth="11.421875" defaultRowHeight="12.75"/>
  <cols>
    <col min="1" max="1" width="18.57421875" style="1" customWidth="1"/>
    <col min="2" max="2" width="37.28125" style="7" customWidth="1"/>
    <col min="3" max="3" width="15.28125" style="1" bestFit="1" customWidth="1"/>
    <col min="4" max="4" width="16.8515625" style="8" customWidth="1"/>
    <col min="5" max="5" width="12.7109375" style="8" bestFit="1" customWidth="1"/>
    <col min="6" max="6" width="14.140625" style="8" customWidth="1"/>
    <col min="7" max="8" width="11.421875" style="8" customWidth="1"/>
    <col min="9" max="16384" width="11.421875" style="1" customWidth="1"/>
  </cols>
  <sheetData>
    <row r="1" ht="12.75">
      <c r="A1" s="6" t="s">
        <v>47</v>
      </c>
    </row>
    <row r="2" spans="1:3" ht="12.75">
      <c r="A2" s="14" t="s">
        <v>165</v>
      </c>
      <c r="C2" s="12" t="s">
        <v>0</v>
      </c>
    </row>
    <row r="3" ht="12.75">
      <c r="A3" s="1" t="s">
        <v>28</v>
      </c>
    </row>
    <row r="4" spans="1:3" ht="12.75">
      <c r="A4" s="6"/>
      <c r="C4" s="10"/>
    </row>
    <row r="5" spans="2:4" ht="12.75">
      <c r="B5" s="11" t="s">
        <v>29</v>
      </c>
      <c r="C5" s="9" t="s">
        <v>30</v>
      </c>
      <c r="D5" s="31" t="s">
        <v>31</v>
      </c>
    </row>
    <row r="6" spans="1:5" ht="12.75">
      <c r="A6" s="14" t="s">
        <v>73</v>
      </c>
      <c r="B6" s="11" t="s">
        <v>5</v>
      </c>
      <c r="C6" s="42">
        <f>+C8+C18</f>
        <v>2261343249</v>
      </c>
      <c r="D6" s="15">
        <f>+C6/C27</f>
        <v>0.6374115990646415</v>
      </c>
      <c r="E6" s="33"/>
    </row>
    <row r="7" spans="3:4" ht="12.75">
      <c r="C7" s="16"/>
      <c r="D7" s="15"/>
    </row>
    <row r="8" spans="1:4" ht="12.75">
      <c r="A8" s="14" t="s">
        <v>74</v>
      </c>
      <c r="B8" s="11" t="s">
        <v>6</v>
      </c>
      <c r="C8" s="16">
        <f>+C10+C17</f>
        <v>146236200</v>
      </c>
      <c r="D8" s="15">
        <f>+C8/C27</f>
        <v>0.04122003597833136</v>
      </c>
    </row>
    <row r="9" spans="3:4" ht="12.75">
      <c r="C9" s="16"/>
      <c r="D9" s="15"/>
    </row>
    <row r="10" spans="1:4" ht="12.75">
      <c r="A10" s="14" t="s">
        <v>75</v>
      </c>
      <c r="B10" s="11" t="s">
        <v>7</v>
      </c>
      <c r="C10" s="16">
        <f>+C13+C11</f>
        <v>146236200</v>
      </c>
      <c r="D10" s="15">
        <f>+C10*D8/C8</f>
        <v>0.04122003597833136</v>
      </c>
    </row>
    <row r="11" spans="1:4" ht="12.75">
      <c r="A11" s="14" t="s">
        <v>161</v>
      </c>
      <c r="B11" s="11" t="s">
        <v>162</v>
      </c>
      <c r="C11" s="187">
        <f>+C12</f>
        <v>3593700</v>
      </c>
      <c r="D11" s="15">
        <f>+C11/C27</f>
        <v>0.0010129669896737567</v>
      </c>
    </row>
    <row r="12" spans="1:4" ht="12.75">
      <c r="A12" s="131" t="s">
        <v>164</v>
      </c>
      <c r="B12" s="135" t="s">
        <v>163</v>
      </c>
      <c r="C12" s="16">
        <v>3593700</v>
      </c>
      <c r="D12" s="15">
        <f>+C12/C27</f>
        <v>0.0010129669896737567</v>
      </c>
    </row>
    <row r="13" spans="1:4" ht="12.75">
      <c r="A13" s="14" t="s">
        <v>76</v>
      </c>
      <c r="B13" s="11" t="s">
        <v>77</v>
      </c>
      <c r="C13" s="16">
        <f>+C14</f>
        <v>142642500</v>
      </c>
      <c r="D13" s="15">
        <f>+C13/C27</f>
        <v>0.040207068988657606</v>
      </c>
    </row>
    <row r="14" spans="1:4" ht="12.75">
      <c r="A14" s="1" t="s">
        <v>78</v>
      </c>
      <c r="B14" s="7" t="s">
        <v>79</v>
      </c>
      <c r="C14" s="108">
        <f>+'Detalle ing.proyectados OSN'!D24</f>
        <v>142642500</v>
      </c>
      <c r="D14" s="15">
        <f>+C14/C27</f>
        <v>0.040207068988657606</v>
      </c>
    </row>
    <row r="15" spans="1:4" ht="12.75">
      <c r="A15" s="14" t="s">
        <v>80</v>
      </c>
      <c r="B15" s="11" t="s">
        <v>81</v>
      </c>
      <c r="C15" s="16">
        <v>0</v>
      </c>
      <c r="D15" s="15">
        <v>0</v>
      </c>
    </row>
    <row r="16" spans="1:4" ht="25.5">
      <c r="A16" s="14" t="s">
        <v>82</v>
      </c>
      <c r="B16" s="11" t="s">
        <v>83</v>
      </c>
      <c r="C16" s="16">
        <v>0</v>
      </c>
      <c r="D16" s="15">
        <v>0</v>
      </c>
    </row>
    <row r="17" spans="1:4" ht="25.5">
      <c r="A17" s="17" t="s">
        <v>84</v>
      </c>
      <c r="B17" s="7" t="s">
        <v>85</v>
      </c>
      <c r="C17" s="16"/>
      <c r="D17" s="15">
        <v>0</v>
      </c>
    </row>
    <row r="18" spans="1:4" ht="12.75">
      <c r="A18" s="14" t="s">
        <v>86</v>
      </c>
      <c r="B18" s="11" t="s">
        <v>3</v>
      </c>
      <c r="C18" s="16">
        <f>+C19</f>
        <v>2115107049</v>
      </c>
      <c r="D18" s="15">
        <f>+C18/C27</f>
        <v>0.5961915630863102</v>
      </c>
    </row>
    <row r="19" spans="1:4" ht="25.5">
      <c r="A19" s="14" t="s">
        <v>87</v>
      </c>
      <c r="B19" s="11" t="s">
        <v>88</v>
      </c>
      <c r="C19" s="16">
        <f>+C20+C21</f>
        <v>2115107049</v>
      </c>
      <c r="D19" s="15">
        <f>+C19/C27</f>
        <v>0.5961915630863102</v>
      </c>
    </row>
    <row r="20" spans="1:4" ht="25.5">
      <c r="A20" s="17" t="s">
        <v>89</v>
      </c>
      <c r="B20" s="18" t="s">
        <v>90</v>
      </c>
      <c r="C20" s="16">
        <v>2115107049</v>
      </c>
      <c r="D20" s="15">
        <f>+C20/C27</f>
        <v>0.5961915630863102</v>
      </c>
    </row>
    <row r="21" spans="1:4" ht="25.5">
      <c r="A21" s="17" t="s">
        <v>91</v>
      </c>
      <c r="B21" s="18" t="s">
        <v>92</v>
      </c>
      <c r="C21" s="108">
        <v>0</v>
      </c>
      <c r="D21" s="15">
        <f>+C21/C27</f>
        <v>0</v>
      </c>
    </row>
    <row r="22" spans="1:4" ht="12.75">
      <c r="A22" s="17"/>
      <c r="B22" s="18"/>
      <c r="C22" s="108"/>
      <c r="D22" s="15"/>
    </row>
    <row r="23" spans="1:4" ht="12.75">
      <c r="A23" s="14" t="s">
        <v>141</v>
      </c>
      <c r="B23" s="11" t="s">
        <v>142</v>
      </c>
      <c r="C23" s="42">
        <f>+C24+C25</f>
        <v>1286353800</v>
      </c>
      <c r="D23" s="130">
        <f>+C23/C27</f>
        <v>0.36258840093535843</v>
      </c>
    </row>
    <row r="24" spans="1:4" ht="12.75">
      <c r="A24" s="17" t="s">
        <v>143</v>
      </c>
      <c r="B24" s="18" t="s">
        <v>144</v>
      </c>
      <c r="C24" s="108">
        <v>1286353800</v>
      </c>
      <c r="D24" s="15">
        <f>+C24/C27</f>
        <v>0.36258840093535843</v>
      </c>
    </row>
    <row r="25" spans="1:4" ht="12.75">
      <c r="A25" s="17" t="s">
        <v>145</v>
      </c>
      <c r="B25" s="18" t="s">
        <v>146</v>
      </c>
      <c r="C25" s="108"/>
      <c r="D25" s="15"/>
    </row>
    <row r="26" spans="3:4" ht="12.75">
      <c r="C26" s="16"/>
      <c r="D26" s="15"/>
    </row>
    <row r="27" spans="1:8" ht="12.75">
      <c r="A27" s="20" t="s">
        <v>32</v>
      </c>
      <c r="B27" s="21"/>
      <c r="C27" s="138">
        <f>+C6+C23</f>
        <v>3547697049</v>
      </c>
      <c r="D27" s="15">
        <v>100</v>
      </c>
      <c r="E27" s="23"/>
      <c r="F27" s="23"/>
      <c r="G27" s="23"/>
      <c r="H27" s="23"/>
    </row>
    <row r="28" spans="3:4" ht="12.75">
      <c r="C28" s="16"/>
      <c r="D28" s="15"/>
    </row>
    <row r="29" spans="3:4" ht="12.75">
      <c r="C29" s="24"/>
      <c r="D29" s="16"/>
    </row>
    <row r="30" spans="3:4" ht="12.75">
      <c r="C30" s="16"/>
      <c r="D30" s="16"/>
    </row>
    <row r="31" spans="3:4" ht="12.75">
      <c r="C31" s="16"/>
      <c r="D31" s="16"/>
    </row>
    <row r="32" spans="2:4" ht="12.75">
      <c r="B32" s="25"/>
      <c r="C32" s="26"/>
      <c r="D32" s="26"/>
    </row>
    <row r="33" spans="2:4" ht="12.75">
      <c r="B33" s="25"/>
      <c r="C33" s="59"/>
      <c r="D33" s="26"/>
    </row>
    <row r="34" spans="2:4" ht="12.75">
      <c r="B34" s="25"/>
      <c r="C34" s="59"/>
      <c r="D34" s="28"/>
    </row>
    <row r="35" spans="2:4" ht="12.75">
      <c r="B35" s="32"/>
      <c r="C35" s="26"/>
      <c r="D35" s="28"/>
    </row>
    <row r="36" spans="2:4" ht="12.75">
      <c r="B36" s="34"/>
      <c r="C36" s="40"/>
      <c r="D36" s="28"/>
    </row>
    <row r="37" spans="2:4" ht="12.75">
      <c r="B37" s="25"/>
      <c r="C37" s="26"/>
      <c r="D37" s="28"/>
    </row>
    <row r="38" spans="2:4" ht="12.75">
      <c r="B38" s="25"/>
      <c r="C38" s="26"/>
      <c r="D38" s="28"/>
    </row>
    <row r="39" spans="2:4" ht="12.75">
      <c r="B39" s="30"/>
      <c r="C39" s="24"/>
      <c r="D39" s="24"/>
    </row>
    <row r="40" spans="3:4" ht="12.75">
      <c r="C40" s="16"/>
      <c r="D40" s="16"/>
    </row>
    <row r="41" spans="2:4" ht="12.75">
      <c r="B41" s="35"/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409.5">
      <c r="C426" s="16"/>
      <c r="D426" s="16"/>
    </row>
    <row r="427" spans="3:4" ht="12.75">
      <c r="C427" s="16"/>
      <c r="D427" s="16"/>
    </row>
  </sheetData>
  <sheetProtection/>
  <printOptions horizontalCentered="1" verticalCentered="1"/>
  <pageMargins left="0.7874015748031497" right="0.7874015748031497" top="1.5748031496062993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H427"/>
  <sheetViews>
    <sheetView showGridLines="0" zoomScalePageLayoutView="0" workbookViewId="0" topLeftCell="A1">
      <selection activeCell="C20" sqref="C20"/>
    </sheetView>
  </sheetViews>
  <sheetFormatPr defaultColWidth="11.421875" defaultRowHeight="12.75"/>
  <cols>
    <col min="1" max="1" width="18.57421875" style="1" customWidth="1"/>
    <col min="2" max="2" width="37.28125" style="7" customWidth="1"/>
    <col min="3" max="3" width="16.57421875" style="1" bestFit="1" customWidth="1"/>
    <col min="4" max="4" width="16.8515625" style="8" customWidth="1"/>
    <col min="5" max="5" width="11.421875" style="8" customWidth="1"/>
    <col min="6" max="6" width="12.7109375" style="8" customWidth="1"/>
    <col min="7" max="8" width="11.421875" style="8" customWidth="1"/>
    <col min="9" max="16384" width="11.421875" style="1" customWidth="1"/>
  </cols>
  <sheetData>
    <row r="1" ht="12.75">
      <c r="A1" s="6" t="s">
        <v>47</v>
      </c>
    </row>
    <row r="2" spans="1:3" ht="12.75">
      <c r="A2" s="14" t="s">
        <v>165</v>
      </c>
      <c r="C2" s="12" t="s">
        <v>27</v>
      </c>
    </row>
    <row r="3" ht="12.75">
      <c r="A3" s="1" t="s">
        <v>28</v>
      </c>
    </row>
    <row r="4" spans="1:3" ht="12.75">
      <c r="A4" s="6"/>
      <c r="C4" s="10"/>
    </row>
    <row r="5" spans="2:4" ht="12.75">
      <c r="B5" s="11" t="s">
        <v>29</v>
      </c>
      <c r="C5" s="9" t="s">
        <v>30</v>
      </c>
      <c r="D5" s="31" t="s">
        <v>31</v>
      </c>
    </row>
    <row r="6" spans="1:4" ht="12.75">
      <c r="A6" s="14" t="s">
        <v>73</v>
      </c>
      <c r="B6" s="11" t="s">
        <v>5</v>
      </c>
      <c r="C6" s="42">
        <f>+C8+C18</f>
        <v>864401668</v>
      </c>
      <c r="D6" s="130">
        <f>+C6/C27</f>
        <v>0.9664580231976938</v>
      </c>
    </row>
    <row r="7" spans="3:4" ht="12.75">
      <c r="C7" s="16"/>
      <c r="D7" s="15"/>
    </row>
    <row r="8" spans="1:4" ht="12.75">
      <c r="A8" s="14" t="s">
        <v>74</v>
      </c>
      <c r="B8" s="11" t="s">
        <v>6</v>
      </c>
      <c r="C8" s="16">
        <f>+C15+C16</f>
        <v>125380000</v>
      </c>
      <c r="D8" s="15">
        <f>+C8/C27</f>
        <v>0.14018310171577184</v>
      </c>
    </row>
    <row r="9" spans="3:4" ht="12.75">
      <c r="C9" s="16"/>
      <c r="D9" s="15"/>
    </row>
    <row r="10" spans="1:4" ht="12.75">
      <c r="A10" s="14" t="s">
        <v>75</v>
      </c>
      <c r="B10" s="11" t="s">
        <v>7</v>
      </c>
      <c r="C10" s="16">
        <v>0</v>
      </c>
      <c r="D10" s="15">
        <v>0</v>
      </c>
    </row>
    <row r="11" spans="1:4" ht="12.75">
      <c r="A11" s="14" t="s">
        <v>161</v>
      </c>
      <c r="B11" s="11" t="s">
        <v>162</v>
      </c>
      <c r="C11" s="16">
        <v>0</v>
      </c>
      <c r="D11" s="15">
        <f>+C11</f>
        <v>0</v>
      </c>
    </row>
    <row r="12" spans="1:4" ht="12.75">
      <c r="A12" s="131" t="s">
        <v>164</v>
      </c>
      <c r="B12" s="135" t="s">
        <v>163</v>
      </c>
      <c r="C12" s="16">
        <v>0</v>
      </c>
      <c r="D12" s="15"/>
    </row>
    <row r="13" spans="1:4" ht="12.75">
      <c r="A13" s="14" t="s">
        <v>76</v>
      </c>
      <c r="B13" s="11" t="s">
        <v>77</v>
      </c>
      <c r="C13" s="16">
        <v>0</v>
      </c>
      <c r="D13" s="15">
        <v>0</v>
      </c>
    </row>
    <row r="14" spans="1:4" ht="12.75">
      <c r="A14" s="1" t="s">
        <v>78</v>
      </c>
      <c r="B14" s="7" t="s">
        <v>79</v>
      </c>
      <c r="C14" s="16"/>
      <c r="D14" s="15">
        <v>0</v>
      </c>
    </row>
    <row r="15" spans="1:4" ht="12.75">
      <c r="A15" s="14" t="s">
        <v>80</v>
      </c>
      <c r="B15" s="11" t="s">
        <v>81</v>
      </c>
      <c r="C15" s="16">
        <f>+C16+C17</f>
        <v>125380000</v>
      </c>
      <c r="D15" s="15">
        <f>+C15/C27</f>
        <v>0.14018310171577184</v>
      </c>
    </row>
    <row r="16" spans="1:4" ht="25.5">
      <c r="A16" s="14" t="s">
        <v>82</v>
      </c>
      <c r="B16" s="11" t="s">
        <v>83</v>
      </c>
      <c r="C16" s="16"/>
      <c r="D16" s="15"/>
    </row>
    <row r="17" spans="1:4" ht="25.5">
      <c r="A17" s="17" t="s">
        <v>84</v>
      </c>
      <c r="B17" s="7" t="s">
        <v>85</v>
      </c>
      <c r="C17" s="16">
        <v>125380000</v>
      </c>
      <c r="D17" s="15">
        <f>+C17/C27</f>
        <v>0.14018310171577184</v>
      </c>
    </row>
    <row r="18" spans="1:4" ht="12.75">
      <c r="A18" s="14" t="s">
        <v>86</v>
      </c>
      <c r="B18" s="11" t="s">
        <v>3</v>
      </c>
      <c r="C18" s="16">
        <f>+C19</f>
        <v>739021668</v>
      </c>
      <c r="D18" s="15">
        <v>0</v>
      </c>
    </row>
    <row r="19" spans="1:4" ht="25.5">
      <c r="A19" s="14" t="s">
        <v>87</v>
      </c>
      <c r="B19" s="11" t="s">
        <v>88</v>
      </c>
      <c r="C19" s="16">
        <f>+C21+C20</f>
        <v>739021668</v>
      </c>
      <c r="D19" s="15">
        <v>0</v>
      </c>
    </row>
    <row r="20" spans="1:4" ht="25.5">
      <c r="A20" s="17" t="s">
        <v>89</v>
      </c>
      <c r="B20" s="18" t="s">
        <v>90</v>
      </c>
      <c r="C20" s="16">
        <v>587821668</v>
      </c>
      <c r="D20" s="15">
        <v>0</v>
      </c>
    </row>
    <row r="21" spans="1:4" ht="25.5">
      <c r="A21" s="17" t="s">
        <v>91</v>
      </c>
      <c r="B21" s="18" t="s">
        <v>92</v>
      </c>
      <c r="C21" s="16">
        <v>151200000</v>
      </c>
      <c r="D21" s="15">
        <v>0</v>
      </c>
    </row>
    <row r="22" spans="1:4" ht="12.75">
      <c r="A22" s="17"/>
      <c r="B22" s="18"/>
      <c r="C22" s="16"/>
      <c r="D22" s="15"/>
    </row>
    <row r="23" spans="1:4" ht="12.75">
      <c r="A23" s="14" t="s">
        <v>141</v>
      </c>
      <c r="B23" s="11" t="s">
        <v>142</v>
      </c>
      <c r="C23" s="42">
        <f>+C24+C25</f>
        <v>30000000</v>
      </c>
      <c r="D23" s="130">
        <f>+C23/C27</f>
        <v>0.03354197680230623</v>
      </c>
    </row>
    <row r="24" spans="1:4" ht="12.75">
      <c r="A24" s="17" t="s">
        <v>143</v>
      </c>
      <c r="B24" s="18" t="s">
        <v>144</v>
      </c>
      <c r="C24" s="16">
        <v>30000000</v>
      </c>
      <c r="D24" s="15">
        <f>+C24/C27</f>
        <v>0.03354197680230623</v>
      </c>
    </row>
    <row r="25" spans="1:4" ht="12.75">
      <c r="A25" s="17" t="s">
        <v>145</v>
      </c>
      <c r="B25" s="18" t="s">
        <v>146</v>
      </c>
      <c r="C25" s="16">
        <v>0</v>
      </c>
      <c r="D25" s="15"/>
    </row>
    <row r="26" spans="3:4" ht="12.75">
      <c r="C26" s="16"/>
      <c r="D26" s="15"/>
    </row>
    <row r="27" spans="1:8" ht="12.75">
      <c r="A27" s="20" t="s">
        <v>32</v>
      </c>
      <c r="B27" s="21"/>
      <c r="C27" s="138">
        <f>+C6+C23</f>
        <v>894401668</v>
      </c>
      <c r="D27" s="15">
        <v>100</v>
      </c>
      <c r="E27" s="23"/>
      <c r="F27" s="23"/>
      <c r="G27" s="23"/>
      <c r="H27" s="23"/>
    </row>
    <row r="28" spans="3:4" ht="12.75">
      <c r="C28" s="16"/>
      <c r="D28" s="15"/>
    </row>
    <row r="29" spans="3:4" ht="12.75">
      <c r="C29" s="24"/>
      <c r="D29" s="16"/>
    </row>
    <row r="30" spans="3:4" ht="12.75">
      <c r="C30" s="16"/>
      <c r="D30" s="16"/>
    </row>
    <row r="31" spans="3:4" ht="12.75">
      <c r="C31" s="16"/>
      <c r="D31" s="16"/>
    </row>
    <row r="32" spans="2:4" ht="12.75">
      <c r="B32" s="25"/>
      <c r="C32" s="28"/>
      <c r="D32" s="26"/>
    </row>
    <row r="33" spans="2:4" ht="12.75">
      <c r="B33" s="25"/>
      <c r="C33" s="26"/>
      <c r="D33" s="26"/>
    </row>
    <row r="34" spans="2:4" ht="12.75">
      <c r="B34" s="25"/>
      <c r="C34" s="26"/>
      <c r="D34" s="28"/>
    </row>
    <row r="35" spans="2:4" ht="12.75">
      <c r="B35" s="25"/>
      <c r="C35" s="26"/>
      <c r="D35" s="28"/>
    </row>
    <row r="36" spans="2:4" ht="12.75">
      <c r="B36" s="25"/>
      <c r="C36" s="29"/>
      <c r="D36" s="28"/>
    </row>
    <row r="37" spans="2:4" ht="12.75">
      <c r="B37" s="25"/>
      <c r="C37" s="26"/>
      <c r="D37" s="28"/>
    </row>
    <row r="38" spans="2:4" ht="12.75">
      <c r="B38" s="25"/>
      <c r="C38" s="26"/>
      <c r="D38" s="28"/>
    </row>
    <row r="39" spans="2:4" ht="12.75">
      <c r="B39" s="30"/>
      <c r="C39" s="24"/>
      <c r="D39" s="24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409.5">
      <c r="C426" s="16"/>
      <c r="D426" s="16"/>
    </row>
    <row r="427" spans="3:4" ht="12.75">
      <c r="C427" s="16"/>
      <c r="D427" s="16"/>
    </row>
  </sheetData>
  <sheetProtection/>
  <printOptions horizontalCentered="1" verticalCentered="1"/>
  <pageMargins left="0.4724409448818898" right="0.7874015748031497" top="1.1023622047244095" bottom="0.984251968503937" header="1.4566929133858268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H427"/>
  <sheetViews>
    <sheetView showGridLines="0" zoomScalePageLayoutView="0" workbookViewId="0" topLeftCell="A1">
      <selection activeCell="C20" sqref="C20"/>
    </sheetView>
  </sheetViews>
  <sheetFormatPr defaultColWidth="11.421875" defaultRowHeight="12.75"/>
  <cols>
    <col min="1" max="1" width="18.57421875" style="1" customWidth="1"/>
    <col min="2" max="2" width="37.28125" style="7" customWidth="1"/>
    <col min="3" max="3" width="13.7109375" style="1" bestFit="1" customWidth="1"/>
    <col min="4" max="4" width="12.57421875" style="8" customWidth="1"/>
    <col min="5" max="5" width="11.421875" style="8" customWidth="1"/>
    <col min="6" max="6" width="12.7109375" style="8" customWidth="1"/>
    <col min="7" max="8" width="11.421875" style="8" customWidth="1"/>
    <col min="9" max="16384" width="11.421875" style="1" customWidth="1"/>
  </cols>
  <sheetData>
    <row r="1" ht="12.75">
      <c r="A1" s="6" t="s">
        <v>47</v>
      </c>
    </row>
    <row r="2" spans="1:3" ht="12.75">
      <c r="A2" s="14" t="s">
        <v>165</v>
      </c>
      <c r="C2" s="12" t="s">
        <v>1</v>
      </c>
    </row>
    <row r="3" ht="12.75">
      <c r="A3" s="1" t="s">
        <v>28</v>
      </c>
    </row>
    <row r="4" spans="1:3" ht="12.75">
      <c r="A4" s="6"/>
      <c r="C4" s="10"/>
    </row>
    <row r="5" spans="2:4" ht="12.75">
      <c r="B5" s="11" t="s">
        <v>29</v>
      </c>
      <c r="C5" s="9" t="s">
        <v>30</v>
      </c>
      <c r="D5" s="31" t="s">
        <v>31</v>
      </c>
    </row>
    <row r="6" spans="1:4" ht="12.75">
      <c r="A6" s="14" t="s">
        <v>73</v>
      </c>
      <c r="B6" s="11" t="s">
        <v>5</v>
      </c>
      <c r="C6" s="42">
        <f>+C18</f>
        <v>57896168</v>
      </c>
      <c r="D6" s="15">
        <v>0</v>
      </c>
    </row>
    <row r="7" spans="3:4" ht="12.75">
      <c r="C7" s="16"/>
      <c r="D7" s="15"/>
    </row>
    <row r="8" spans="1:4" ht="12.75">
      <c r="A8" s="14" t="s">
        <v>74</v>
      </c>
      <c r="B8" s="11" t="s">
        <v>6</v>
      </c>
      <c r="C8" s="16">
        <v>0</v>
      </c>
      <c r="D8" s="15">
        <v>0</v>
      </c>
    </row>
    <row r="9" spans="3:4" ht="12.75">
      <c r="C9" s="16"/>
      <c r="D9" s="15"/>
    </row>
    <row r="10" spans="1:4" ht="12.75">
      <c r="A10" s="14" t="s">
        <v>75</v>
      </c>
      <c r="B10" s="11" t="s">
        <v>7</v>
      </c>
      <c r="C10" s="16">
        <v>0</v>
      </c>
      <c r="D10" s="15">
        <v>0</v>
      </c>
    </row>
    <row r="11" spans="1:4" ht="12.75">
      <c r="A11" s="14" t="s">
        <v>161</v>
      </c>
      <c r="B11" s="11" t="s">
        <v>162</v>
      </c>
      <c r="C11" s="16"/>
      <c r="D11" s="15"/>
    </row>
    <row r="12" spans="1:4" ht="12.75">
      <c r="A12" s="131" t="s">
        <v>164</v>
      </c>
      <c r="B12" s="135" t="s">
        <v>163</v>
      </c>
      <c r="C12" s="16"/>
      <c r="D12" s="15"/>
    </row>
    <row r="13" spans="1:4" ht="12.75">
      <c r="A13" s="14" t="s">
        <v>76</v>
      </c>
      <c r="B13" s="11" t="s">
        <v>77</v>
      </c>
      <c r="C13" s="16">
        <v>0</v>
      </c>
      <c r="D13" s="15">
        <v>0</v>
      </c>
    </row>
    <row r="14" spans="1:4" ht="12.75">
      <c r="A14" s="1" t="s">
        <v>78</v>
      </c>
      <c r="B14" s="7" t="s">
        <v>79</v>
      </c>
      <c r="C14" s="16"/>
      <c r="D14" s="15">
        <v>0</v>
      </c>
    </row>
    <row r="15" spans="1:4" ht="12.75">
      <c r="A15" s="14" t="s">
        <v>80</v>
      </c>
      <c r="B15" s="11" t="s">
        <v>81</v>
      </c>
      <c r="C15" s="16">
        <v>0</v>
      </c>
      <c r="D15" s="15">
        <v>0</v>
      </c>
    </row>
    <row r="16" spans="1:4" ht="25.5">
      <c r="A16" s="14" t="s">
        <v>82</v>
      </c>
      <c r="B16" s="11" t="s">
        <v>83</v>
      </c>
      <c r="C16" s="16">
        <v>0</v>
      </c>
      <c r="D16" s="15">
        <v>0</v>
      </c>
    </row>
    <row r="17" spans="1:4" ht="25.5">
      <c r="A17" s="17" t="s">
        <v>84</v>
      </c>
      <c r="B17" s="7" t="s">
        <v>85</v>
      </c>
      <c r="C17" s="16"/>
      <c r="D17" s="15">
        <v>0</v>
      </c>
    </row>
    <row r="18" spans="1:4" ht="12.75">
      <c r="A18" s="14" t="s">
        <v>86</v>
      </c>
      <c r="B18" s="11" t="s">
        <v>3</v>
      </c>
      <c r="C18" s="42">
        <f>+C20</f>
        <v>57896168</v>
      </c>
      <c r="D18" s="15">
        <v>0</v>
      </c>
    </row>
    <row r="19" spans="1:4" ht="25.5">
      <c r="A19" s="14" t="s">
        <v>87</v>
      </c>
      <c r="B19" s="11" t="s">
        <v>88</v>
      </c>
      <c r="C19" s="16">
        <f>+C20</f>
        <v>57896168</v>
      </c>
      <c r="D19" s="15">
        <v>0</v>
      </c>
    </row>
    <row r="20" spans="1:4" ht="25.5">
      <c r="A20" s="17" t="s">
        <v>89</v>
      </c>
      <c r="B20" s="18" t="s">
        <v>90</v>
      </c>
      <c r="C20" s="16">
        <v>57896168</v>
      </c>
      <c r="D20" s="15">
        <v>0</v>
      </c>
    </row>
    <row r="21" spans="1:4" ht="25.5">
      <c r="A21" s="17" t="s">
        <v>91</v>
      </c>
      <c r="B21" s="18" t="s">
        <v>92</v>
      </c>
      <c r="C21" s="16">
        <v>0</v>
      </c>
      <c r="D21" s="15">
        <v>0</v>
      </c>
    </row>
    <row r="22" spans="1:4" ht="12.75">
      <c r="A22" s="17"/>
      <c r="B22" s="18"/>
      <c r="C22" s="16"/>
      <c r="D22" s="15"/>
    </row>
    <row r="23" spans="1:4" ht="12.75">
      <c r="A23" s="14" t="s">
        <v>141</v>
      </c>
      <c r="B23" s="11" t="s">
        <v>142</v>
      </c>
      <c r="C23" s="42">
        <f>+C24+C25</f>
        <v>1000000</v>
      </c>
      <c r="D23" s="15">
        <v>0</v>
      </c>
    </row>
    <row r="24" spans="1:4" ht="12.75">
      <c r="A24" s="17" t="s">
        <v>143</v>
      </c>
      <c r="B24" s="18" t="s">
        <v>144</v>
      </c>
      <c r="C24" s="16">
        <v>1000000</v>
      </c>
      <c r="D24" s="15"/>
    </row>
    <row r="25" spans="1:4" ht="12.75">
      <c r="A25" s="17" t="s">
        <v>145</v>
      </c>
      <c r="B25" s="18" t="s">
        <v>146</v>
      </c>
      <c r="C25" s="16"/>
      <c r="D25" s="15"/>
    </row>
    <row r="26" spans="3:4" ht="12.75">
      <c r="C26" s="16"/>
      <c r="D26" s="15">
        <v>0</v>
      </c>
    </row>
    <row r="27" spans="1:8" ht="12.75">
      <c r="A27" s="20" t="s">
        <v>32</v>
      </c>
      <c r="B27" s="21"/>
      <c r="C27" s="138">
        <f>+C6+C23</f>
        <v>58896168</v>
      </c>
      <c r="D27" s="15">
        <v>100</v>
      </c>
      <c r="E27" s="23"/>
      <c r="F27" s="23"/>
      <c r="G27" s="23"/>
      <c r="H27" s="23"/>
    </row>
    <row r="28" spans="3:4" ht="12.75">
      <c r="C28" s="16"/>
      <c r="D28" s="15"/>
    </row>
    <row r="29" spans="3:4" ht="12.75">
      <c r="C29" s="24"/>
      <c r="D29" s="16"/>
    </row>
    <row r="30" spans="3:4" ht="12.75">
      <c r="C30" s="16">
        <v>58896168.472477585</v>
      </c>
      <c r="D30" s="16"/>
    </row>
    <row r="31" spans="3:4" ht="12.75">
      <c r="C31" s="16"/>
      <c r="D31" s="16"/>
    </row>
    <row r="32" spans="2:4" ht="12.75">
      <c r="B32" s="25"/>
      <c r="C32" s="26"/>
      <c r="D32" s="26"/>
    </row>
    <row r="33" spans="2:4" ht="12.75">
      <c r="B33" s="25"/>
      <c r="C33" s="26"/>
      <c r="D33" s="26"/>
    </row>
    <row r="34" spans="2:4" ht="12.75">
      <c r="B34" s="25"/>
      <c r="C34" s="26"/>
      <c r="D34" s="28"/>
    </row>
    <row r="35" spans="2:4" ht="12.75">
      <c r="B35" s="25"/>
      <c r="C35" s="26"/>
      <c r="D35" s="28"/>
    </row>
    <row r="36" spans="2:4" ht="12.75">
      <c r="B36" s="25"/>
      <c r="C36" s="29"/>
      <c r="D36" s="28"/>
    </row>
    <row r="37" spans="2:4" ht="12.75">
      <c r="B37" s="25"/>
      <c r="C37" s="26"/>
      <c r="D37" s="28"/>
    </row>
    <row r="38" spans="2:4" ht="12.75">
      <c r="B38" s="25"/>
      <c r="C38" s="26"/>
      <c r="D38" s="28"/>
    </row>
    <row r="39" spans="2:4" ht="12.75">
      <c r="B39" s="30"/>
      <c r="C39" s="24"/>
      <c r="D39" s="24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409.5">
      <c r="C426" s="16"/>
      <c r="D426" s="16"/>
    </row>
    <row r="427" spans="3:4" ht="12.75">
      <c r="C427" s="16"/>
      <c r="D427" s="16"/>
    </row>
  </sheetData>
  <sheetProtection/>
  <printOptions horizontalCentered="1" verticalCentered="1"/>
  <pageMargins left="0" right="0" top="0" bottom="0" header="0" footer="0"/>
  <pageSetup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H406"/>
  <sheetViews>
    <sheetView showGridLines="0" zoomScaleSheetLayoutView="100" zoomScalePageLayoutView="0" workbookViewId="0" topLeftCell="A1">
      <selection activeCell="G20" sqref="G20"/>
    </sheetView>
  </sheetViews>
  <sheetFormatPr defaultColWidth="11.421875" defaultRowHeight="12.75"/>
  <cols>
    <col min="1" max="1" width="18.57421875" style="1" customWidth="1"/>
    <col min="2" max="2" width="37.28125" style="7" customWidth="1"/>
    <col min="3" max="3" width="13.8515625" style="1" customWidth="1"/>
    <col min="4" max="4" width="16.8515625" style="8" customWidth="1"/>
    <col min="5" max="5" width="11.421875" style="8" customWidth="1"/>
    <col min="6" max="6" width="12.7109375" style="8" customWidth="1"/>
    <col min="7" max="8" width="11.421875" style="8" customWidth="1"/>
    <col min="9" max="16384" width="11.421875" style="1" customWidth="1"/>
  </cols>
  <sheetData>
    <row r="1" ht="12.75">
      <c r="A1" s="6" t="s">
        <v>47</v>
      </c>
    </row>
    <row r="2" spans="1:3" ht="12.75">
      <c r="A2" s="14" t="s">
        <v>165</v>
      </c>
      <c r="C2" s="12" t="s">
        <v>2</v>
      </c>
    </row>
    <row r="3" ht="12.75">
      <c r="A3" s="1" t="s">
        <v>28</v>
      </c>
    </row>
    <row r="4" spans="1:3" ht="12.75">
      <c r="A4" s="6"/>
      <c r="C4" s="10"/>
    </row>
    <row r="5" spans="2:4" ht="12.75">
      <c r="B5" s="11" t="s">
        <v>29</v>
      </c>
      <c r="C5" s="9" t="s">
        <v>30</v>
      </c>
      <c r="D5" s="31" t="s">
        <v>31</v>
      </c>
    </row>
    <row r="6" spans="1:4" ht="12.75">
      <c r="A6" s="14" t="s">
        <v>73</v>
      </c>
      <c r="B6" s="11" t="s">
        <v>5</v>
      </c>
      <c r="C6" s="42">
        <f>+C10+C18</f>
        <v>121665115</v>
      </c>
      <c r="D6" s="15">
        <f>+C6/C28</f>
        <v>1</v>
      </c>
    </row>
    <row r="7" spans="3:4" ht="12.75">
      <c r="C7" s="16"/>
      <c r="D7" s="15"/>
    </row>
    <row r="8" spans="1:4" ht="12.75">
      <c r="A8" s="14" t="s">
        <v>74</v>
      </c>
      <c r="B8" s="11" t="s">
        <v>6</v>
      </c>
      <c r="C8" s="42">
        <f>+C10</f>
        <v>25000000</v>
      </c>
      <c r="D8" s="15">
        <v>100</v>
      </c>
    </row>
    <row r="9" spans="3:4" ht="12.75">
      <c r="C9" s="16"/>
      <c r="D9" s="15"/>
    </row>
    <row r="10" spans="1:4" ht="12.75">
      <c r="A10" s="14" t="s">
        <v>75</v>
      </c>
      <c r="B10" s="11" t="s">
        <v>7</v>
      </c>
      <c r="C10" s="16">
        <f>+C14</f>
        <v>25000000</v>
      </c>
      <c r="D10" s="15">
        <v>100</v>
      </c>
    </row>
    <row r="11" spans="1:4" ht="12.75">
      <c r="A11" s="14" t="s">
        <v>161</v>
      </c>
      <c r="B11" s="11" t="s">
        <v>162</v>
      </c>
      <c r="C11" s="16"/>
      <c r="D11" s="15"/>
    </row>
    <row r="12" spans="1:4" ht="12.75">
      <c r="A12" s="131" t="s">
        <v>164</v>
      </c>
      <c r="B12" s="135" t="s">
        <v>163</v>
      </c>
      <c r="C12" s="16"/>
      <c r="D12" s="15"/>
    </row>
    <row r="13" spans="1:4" ht="12.75">
      <c r="A13" s="14" t="s">
        <v>76</v>
      </c>
      <c r="B13" s="11" t="s">
        <v>77</v>
      </c>
      <c r="C13" s="16">
        <f>+C14</f>
        <v>25000000</v>
      </c>
      <c r="D13" s="15">
        <v>100</v>
      </c>
    </row>
    <row r="14" spans="1:4" ht="12.75">
      <c r="A14" s="1" t="s">
        <v>78</v>
      </c>
      <c r="B14" s="7" t="s">
        <v>79</v>
      </c>
      <c r="C14" s="16">
        <v>25000000</v>
      </c>
      <c r="D14" s="15">
        <v>100</v>
      </c>
    </row>
    <row r="15" spans="1:4" ht="12.75">
      <c r="A15" s="14" t="s">
        <v>80</v>
      </c>
      <c r="B15" s="11" t="s">
        <v>81</v>
      </c>
      <c r="C15" s="16">
        <v>0</v>
      </c>
      <c r="D15" s="15">
        <v>0</v>
      </c>
    </row>
    <row r="16" spans="1:4" ht="25.5">
      <c r="A16" s="14" t="s">
        <v>82</v>
      </c>
      <c r="B16" s="11" t="s">
        <v>83</v>
      </c>
      <c r="C16" s="16">
        <v>0</v>
      </c>
      <c r="D16" s="15">
        <v>0</v>
      </c>
    </row>
    <row r="17" spans="1:4" ht="25.5">
      <c r="A17" s="17" t="s">
        <v>84</v>
      </c>
      <c r="B17" s="7" t="s">
        <v>85</v>
      </c>
      <c r="C17" s="16"/>
      <c r="D17" s="15">
        <v>0</v>
      </c>
    </row>
    <row r="18" spans="1:4" ht="12.75">
      <c r="A18" s="14" t="s">
        <v>86</v>
      </c>
      <c r="B18" s="11" t="s">
        <v>3</v>
      </c>
      <c r="C18" s="42">
        <f>+C19</f>
        <v>96665115</v>
      </c>
      <c r="D18" s="15">
        <v>0</v>
      </c>
    </row>
    <row r="19" spans="1:4" ht="25.5">
      <c r="A19" s="14" t="s">
        <v>87</v>
      </c>
      <c r="B19" s="11" t="s">
        <v>88</v>
      </c>
      <c r="C19" s="16">
        <f>+C20</f>
        <v>96665115</v>
      </c>
      <c r="D19" s="15">
        <v>0</v>
      </c>
    </row>
    <row r="20" spans="1:4" ht="25.5">
      <c r="A20" s="17" t="s">
        <v>89</v>
      </c>
      <c r="B20" s="18" t="s">
        <v>90</v>
      </c>
      <c r="C20" s="16">
        <v>96665115</v>
      </c>
      <c r="D20" s="15">
        <v>0</v>
      </c>
    </row>
    <row r="21" spans="1:4" ht="25.5">
      <c r="A21" s="17" t="s">
        <v>91</v>
      </c>
      <c r="B21" s="18" t="s">
        <v>92</v>
      </c>
      <c r="C21" s="16">
        <v>0</v>
      </c>
      <c r="D21" s="15">
        <v>0</v>
      </c>
    </row>
    <row r="22" spans="1:4" ht="12.75">
      <c r="A22" s="17"/>
      <c r="B22" s="18"/>
      <c r="C22" s="16"/>
      <c r="D22" s="15"/>
    </row>
    <row r="23" spans="1:4" ht="12.75">
      <c r="A23" s="14" t="s">
        <v>141</v>
      </c>
      <c r="B23" s="11" t="s">
        <v>142</v>
      </c>
      <c r="C23" s="42">
        <f>+C24+C25</f>
        <v>0</v>
      </c>
      <c r="D23" s="15">
        <f>+C23/C28</f>
        <v>0</v>
      </c>
    </row>
    <row r="24" spans="1:4" ht="12.75">
      <c r="A24" s="17" t="s">
        <v>143</v>
      </c>
      <c r="B24" s="18" t="s">
        <v>144</v>
      </c>
      <c r="C24" s="16">
        <v>0</v>
      </c>
      <c r="D24" s="15">
        <f>+C24/C28</f>
        <v>0</v>
      </c>
    </row>
    <row r="25" spans="1:4" ht="12.75">
      <c r="A25" s="17" t="s">
        <v>145</v>
      </c>
      <c r="B25" s="18" t="s">
        <v>146</v>
      </c>
      <c r="C25" s="16">
        <v>0</v>
      </c>
      <c r="D25" s="15"/>
    </row>
    <row r="26" spans="1:4" ht="12.75">
      <c r="A26" s="17"/>
      <c r="B26" s="18"/>
      <c r="C26" s="16"/>
      <c r="D26" s="15"/>
    </row>
    <row r="27" spans="3:4" ht="12.75">
      <c r="C27" s="16"/>
      <c r="D27" s="15">
        <v>0</v>
      </c>
    </row>
    <row r="28" spans="1:8" ht="12.75">
      <c r="A28" s="20" t="s">
        <v>32</v>
      </c>
      <c r="B28" s="21"/>
      <c r="C28" s="138">
        <f>+C6+C23</f>
        <v>121665115</v>
      </c>
      <c r="D28" s="15">
        <v>100</v>
      </c>
      <c r="E28" s="23"/>
      <c r="F28" s="23"/>
      <c r="G28" s="23"/>
      <c r="H28" s="23"/>
    </row>
    <row r="29" spans="3:4" ht="12.75">
      <c r="C29" s="16"/>
      <c r="D29" s="15"/>
    </row>
    <row r="30" spans="3:4" ht="12.75">
      <c r="C30" s="24"/>
      <c r="D30" s="16"/>
    </row>
    <row r="31" spans="2:4" ht="12.75">
      <c r="B31" s="135"/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1:4" ht="27" customHeight="1">
      <c r="A35" s="189" t="s">
        <v>167</v>
      </c>
      <c r="B35" s="189"/>
      <c r="C35" s="179">
        <v>25000000</v>
      </c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409.5">
      <c r="C405" s="16"/>
      <c r="D405" s="16"/>
    </row>
    <row r="406" spans="3:4" ht="12.75">
      <c r="C406" s="16"/>
      <c r="D406" s="16"/>
    </row>
  </sheetData>
  <sheetProtection/>
  <mergeCells count="1">
    <mergeCell ref="A35:B35"/>
  </mergeCells>
  <printOptions horizontalCentered="1" verticalCentered="1"/>
  <pageMargins left="0.9055118110236221" right="0.7874015748031497" top="1.220472440944882" bottom="0.984251968503937" header="0.9448818897637796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K427"/>
  <sheetViews>
    <sheetView showGridLines="0" zoomScaleSheetLayoutView="90" zoomScalePageLayoutView="0" workbookViewId="0" topLeftCell="A1">
      <selection activeCell="B40" sqref="B40"/>
    </sheetView>
  </sheetViews>
  <sheetFormatPr defaultColWidth="11.421875" defaultRowHeight="12.75"/>
  <cols>
    <col min="1" max="1" width="18.57421875" style="1" customWidth="1"/>
    <col min="2" max="2" width="37.28125" style="7" customWidth="1"/>
    <col min="3" max="3" width="18.00390625" style="1" customWidth="1"/>
    <col min="4" max="4" width="0.42578125" style="1" hidden="1" customWidth="1"/>
    <col min="5" max="5" width="11.28125" style="8" customWidth="1"/>
    <col min="6" max="6" width="16.8515625" style="8" customWidth="1"/>
    <col min="7" max="7" width="12.7109375" style="8" bestFit="1" customWidth="1"/>
    <col min="8" max="8" width="11.57421875" style="8" bestFit="1" customWidth="1"/>
    <col min="9" max="9" width="18.140625" style="77" bestFit="1" customWidth="1"/>
    <col min="10" max="10" width="12.7109375" style="1" customWidth="1"/>
    <col min="11" max="11" width="14.28125" style="1" customWidth="1"/>
    <col min="12" max="16384" width="11.421875" style="1" customWidth="1"/>
  </cols>
  <sheetData>
    <row r="1" ht="12.75">
      <c r="A1" s="6" t="s">
        <v>47</v>
      </c>
    </row>
    <row r="2" spans="1:4" ht="12.75">
      <c r="A2" s="14" t="s">
        <v>165</v>
      </c>
      <c r="C2" s="9"/>
      <c r="D2" s="9"/>
    </row>
    <row r="3" ht="12.75">
      <c r="A3" s="1" t="s">
        <v>28</v>
      </c>
    </row>
    <row r="4" spans="1:4" ht="12.75">
      <c r="A4" s="6"/>
      <c r="C4" s="10"/>
      <c r="D4" s="10"/>
    </row>
    <row r="5" spans="2:5" ht="13.5" thickBot="1">
      <c r="B5" s="11" t="s">
        <v>29</v>
      </c>
      <c r="C5" s="12" t="s">
        <v>30</v>
      </c>
      <c r="D5" s="12"/>
      <c r="E5" s="13" t="s">
        <v>31</v>
      </c>
    </row>
    <row r="6" spans="1:5" ht="13.5" thickBot="1">
      <c r="A6" s="14" t="s">
        <v>73</v>
      </c>
      <c r="B6" s="11" t="s">
        <v>5</v>
      </c>
      <c r="C6" s="39">
        <f>+C8+C18</f>
        <v>3305306200</v>
      </c>
      <c r="D6" s="24">
        <v>5063128000</v>
      </c>
      <c r="E6" s="15">
        <f>+C6/C28</f>
        <v>0.7150225627668918</v>
      </c>
    </row>
    <row r="7" spans="3:5" ht="12.75">
      <c r="C7" s="16"/>
      <c r="D7" s="16"/>
      <c r="E7" s="15"/>
    </row>
    <row r="8" spans="1:5" ht="12.75">
      <c r="A8" s="14" t="s">
        <v>74</v>
      </c>
      <c r="B8" s="11" t="s">
        <v>6</v>
      </c>
      <c r="C8" s="42">
        <f>+C10+C16</f>
        <v>296616200</v>
      </c>
      <c r="D8" s="24">
        <v>118400000</v>
      </c>
      <c r="E8" s="130">
        <f>+C8*E6/C6</f>
        <v>0.06416569680660053</v>
      </c>
    </row>
    <row r="9" spans="3:5" ht="12.75">
      <c r="C9" s="16"/>
      <c r="D9" s="16"/>
      <c r="E9" s="15"/>
    </row>
    <row r="10" spans="1:5" ht="12.75">
      <c r="A10" s="14" t="s">
        <v>75</v>
      </c>
      <c r="B10" s="11" t="s">
        <v>7</v>
      </c>
      <c r="C10" s="16">
        <f>+C13+C11</f>
        <v>171236200</v>
      </c>
      <c r="D10" s="16">
        <v>90400000</v>
      </c>
      <c r="E10" s="130">
        <f>+C10/C28</f>
        <v>0.03704278489008493</v>
      </c>
    </row>
    <row r="11" spans="1:5" ht="12.75">
      <c r="A11" s="14" t="s">
        <v>161</v>
      </c>
      <c r="B11" s="11" t="s">
        <v>162</v>
      </c>
      <c r="C11" s="42">
        <f>+C12</f>
        <v>3593700</v>
      </c>
      <c r="D11" s="16"/>
      <c r="E11" s="130">
        <f>+C11/C28</f>
        <v>0.0007774095434230508</v>
      </c>
    </row>
    <row r="12" spans="1:5" ht="12.75">
      <c r="A12" s="131" t="s">
        <v>164</v>
      </c>
      <c r="B12" s="135" t="s">
        <v>163</v>
      </c>
      <c r="C12" s="16">
        <f>+osn!C12</f>
        <v>3593700</v>
      </c>
      <c r="D12" s="16"/>
      <c r="E12" s="188">
        <f>+C12/C28</f>
        <v>0.0007774095434230508</v>
      </c>
    </row>
    <row r="13" spans="1:5" ht="12.75">
      <c r="A13" s="14" t="s">
        <v>76</v>
      </c>
      <c r="B13" s="11" t="s">
        <v>77</v>
      </c>
      <c r="C13" s="42">
        <f>+C14</f>
        <v>167642500</v>
      </c>
      <c r="D13" s="16"/>
      <c r="E13" s="15">
        <f>+C13/C28</f>
        <v>0.036265375346661875</v>
      </c>
    </row>
    <row r="14" spans="1:5" ht="12.75">
      <c r="A14" s="1" t="s">
        <v>78</v>
      </c>
      <c r="B14" s="7" t="s">
        <v>79</v>
      </c>
      <c r="C14" s="16">
        <f>+osn!C14+'in-lirica'!C14</f>
        <v>167642500</v>
      </c>
      <c r="D14" s="16"/>
      <c r="E14" s="15">
        <f>+C14/C28</f>
        <v>0.036265375346661875</v>
      </c>
    </row>
    <row r="15" spans="1:5" ht="12.75">
      <c r="A15" s="14" t="s">
        <v>80</v>
      </c>
      <c r="B15" s="11" t="s">
        <v>81</v>
      </c>
      <c r="C15" s="24">
        <f>+C16</f>
        <v>125380000</v>
      </c>
      <c r="D15" s="24">
        <v>28000000</v>
      </c>
      <c r="E15" s="15">
        <f>+C15/C28</f>
        <v>0.0271229119165156</v>
      </c>
    </row>
    <row r="16" spans="1:5" ht="25.5">
      <c r="A16" s="14" t="s">
        <v>82</v>
      </c>
      <c r="B16" s="11" t="s">
        <v>83</v>
      </c>
      <c r="C16" s="16">
        <f>+C17</f>
        <v>125380000</v>
      </c>
      <c r="D16" s="16"/>
      <c r="E16" s="15">
        <f>+C16/C28</f>
        <v>0.0271229119165156</v>
      </c>
    </row>
    <row r="17" spans="1:5" ht="26.25" thickBot="1">
      <c r="A17" s="17" t="s">
        <v>84</v>
      </c>
      <c r="B17" s="7" t="s">
        <v>85</v>
      </c>
      <c r="C17" s="16">
        <f>+INM!C17</f>
        <v>125380000</v>
      </c>
      <c r="D17" s="16"/>
      <c r="E17" s="15">
        <f>+C17/C28</f>
        <v>0.0271229119165156</v>
      </c>
    </row>
    <row r="18" spans="1:5" ht="13.5" thickBot="1">
      <c r="A18" s="14" t="s">
        <v>86</v>
      </c>
      <c r="B18" s="11" t="s">
        <v>3</v>
      </c>
      <c r="C18" s="39">
        <f>+C19</f>
        <v>3008690000</v>
      </c>
      <c r="D18" s="40">
        <v>4944728000</v>
      </c>
      <c r="E18" s="130">
        <f>+C18/C28</f>
        <v>0.6508568659602912</v>
      </c>
    </row>
    <row r="19" spans="1:11" ht="25.5">
      <c r="A19" s="14" t="s">
        <v>87</v>
      </c>
      <c r="B19" s="11" t="s">
        <v>88</v>
      </c>
      <c r="C19" s="41">
        <f>+C20+C21</f>
        <v>3008690000</v>
      </c>
      <c r="D19" s="42"/>
      <c r="E19" s="15">
        <f>+C19/C28</f>
        <v>0.6508568659602912</v>
      </c>
      <c r="J19" s="8"/>
      <c r="K19" s="8"/>
    </row>
    <row r="20" spans="1:11" ht="25.5">
      <c r="A20" s="17" t="s">
        <v>89</v>
      </c>
      <c r="B20" s="18" t="s">
        <v>90</v>
      </c>
      <c r="C20" s="16">
        <f>+osn!C20+INM!C20+'in-coro'!C20+'in-lirica'!C20</f>
        <v>2857490000</v>
      </c>
      <c r="D20" s="16"/>
      <c r="E20" s="15">
        <f>+C20/C28</f>
        <v>0.6181484253654822</v>
      </c>
      <c r="J20" s="16"/>
      <c r="K20" s="8"/>
    </row>
    <row r="21" spans="1:11" ht="25.5">
      <c r="A21" s="17" t="s">
        <v>91</v>
      </c>
      <c r="B21" s="18" t="s">
        <v>92</v>
      </c>
      <c r="C21" s="16">
        <f>+osn!C21+INM!C21</f>
        <v>151200000</v>
      </c>
      <c r="D21" s="16"/>
      <c r="E21" s="15">
        <f>+C21/C28</f>
        <v>0.03270844059480905</v>
      </c>
      <c r="F21" s="19"/>
      <c r="G21" s="19"/>
      <c r="H21" s="19"/>
      <c r="J21" s="19"/>
      <c r="K21" s="19"/>
    </row>
    <row r="22" spans="3:5" ht="13.5" thickBot="1">
      <c r="C22" s="16"/>
      <c r="D22" s="16"/>
      <c r="E22" s="15"/>
    </row>
    <row r="23" spans="1:5" ht="13.5" thickBot="1">
      <c r="A23" s="14" t="s">
        <v>141</v>
      </c>
      <c r="B23" s="11" t="s">
        <v>142</v>
      </c>
      <c r="C23" s="39">
        <f>+C24+C25</f>
        <v>1317353800</v>
      </c>
      <c r="D23" s="16"/>
      <c r="E23" s="15">
        <f>+C23/C28</f>
        <v>0.2849774372331082</v>
      </c>
    </row>
    <row r="24" spans="1:5" ht="12.75">
      <c r="A24" s="17" t="s">
        <v>143</v>
      </c>
      <c r="B24" s="18" t="s">
        <v>144</v>
      </c>
      <c r="C24" s="16">
        <f>+osn!C24+INM!C24+'in-coro'!C24+'in-lirica'!C24</f>
        <v>1317353800</v>
      </c>
      <c r="D24" s="16"/>
      <c r="E24" s="15">
        <f>+C24/C28</f>
        <v>0.2849774372331082</v>
      </c>
    </row>
    <row r="25" spans="1:5" ht="12.75">
      <c r="A25" s="17" t="s">
        <v>145</v>
      </c>
      <c r="B25" s="18" t="s">
        <v>146</v>
      </c>
      <c r="C25" s="16">
        <f>+osn!C25</f>
        <v>0</v>
      </c>
      <c r="D25" s="16"/>
      <c r="E25" s="15">
        <v>0</v>
      </c>
    </row>
    <row r="26" spans="3:5" ht="12.75">
      <c r="C26" s="16"/>
      <c r="D26" s="16"/>
      <c r="E26" s="15"/>
    </row>
    <row r="27" spans="3:5" ht="12.75">
      <c r="C27" s="16"/>
      <c r="D27" s="16"/>
      <c r="E27" s="15"/>
    </row>
    <row r="28" spans="1:8" ht="12.75">
      <c r="A28" s="136" t="s">
        <v>32</v>
      </c>
      <c r="B28" s="21"/>
      <c r="C28" s="138">
        <f>+C6+C23</f>
        <v>4622660000</v>
      </c>
      <c r="D28" s="22">
        <v>5063128000</v>
      </c>
      <c r="E28" s="139">
        <v>100</v>
      </c>
      <c r="F28" s="23"/>
      <c r="G28" s="23"/>
      <c r="H28" s="23"/>
    </row>
    <row r="29" spans="3:5" ht="12.75">
      <c r="C29" s="16"/>
      <c r="D29" s="16"/>
      <c r="E29" s="15"/>
    </row>
    <row r="30" spans="1:5" ht="12.75">
      <c r="A30" s="14"/>
      <c r="B30" s="11"/>
      <c r="C30" s="24"/>
      <c r="D30" s="24">
        <v>5063128000</v>
      </c>
      <c r="E30" s="16"/>
    </row>
    <row r="31" spans="1:5" ht="12.75">
      <c r="A31" s="14"/>
      <c r="B31" s="11"/>
      <c r="C31" s="16"/>
      <c r="D31" s="16"/>
      <c r="E31" s="16"/>
    </row>
    <row r="32" spans="1:5" ht="12.75">
      <c r="A32" s="14"/>
      <c r="B32" s="11"/>
      <c r="C32" s="16"/>
      <c r="D32" s="16"/>
      <c r="E32" s="16"/>
    </row>
    <row r="33" spans="1:5" ht="12.75">
      <c r="A33" s="14"/>
      <c r="B33" s="27"/>
      <c r="C33" s="28"/>
      <c r="D33" s="26"/>
      <c r="E33" s="26"/>
    </row>
    <row r="34" spans="2:5" ht="12.75">
      <c r="B34" s="25"/>
      <c r="C34" s="59"/>
      <c r="D34" s="26"/>
      <c r="E34" s="28"/>
    </row>
    <row r="35" spans="2:5" ht="12.75">
      <c r="B35" s="32"/>
      <c r="C35" s="26"/>
      <c r="D35" s="26"/>
      <c r="E35" s="28"/>
    </row>
    <row r="36" spans="2:5" ht="12.75">
      <c r="B36" s="25"/>
      <c r="C36" s="29"/>
      <c r="D36" s="29"/>
      <c r="E36" s="28"/>
    </row>
    <row r="37" spans="2:5" ht="12.75">
      <c r="B37" s="25"/>
      <c r="C37" s="26"/>
      <c r="D37" s="26"/>
      <c r="E37" s="28"/>
    </row>
    <row r="38" spans="2:5" ht="12.75">
      <c r="B38" s="25"/>
      <c r="C38" s="26"/>
      <c r="D38" s="26"/>
      <c r="E38" s="28"/>
    </row>
    <row r="39" spans="2:5" ht="12.75">
      <c r="B39" s="30"/>
      <c r="C39" s="24"/>
      <c r="D39" s="24"/>
      <c r="E39" s="24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409.5">
      <c r="C426" s="16"/>
      <c r="D426" s="16"/>
      <c r="E426" s="16"/>
    </row>
    <row r="427" spans="3:5" ht="12.75">
      <c r="C427" s="16"/>
      <c r="D427" s="16"/>
      <c r="E427" s="16"/>
    </row>
  </sheetData>
  <sheetProtection/>
  <printOptions horizontalCentered="1" verticalCentered="1"/>
  <pageMargins left="0" right="0.3937007874015748" top="0.9055118110236221" bottom="1.4173228346456694" header="0.5118110236220472" footer="1.6535433070866143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J428"/>
  <sheetViews>
    <sheetView showGridLines="0" tabSelected="1" zoomScaleSheetLayoutView="100" workbookViewId="0" topLeftCell="A1">
      <selection activeCell="G36" sqref="G36"/>
    </sheetView>
  </sheetViews>
  <sheetFormatPr defaultColWidth="11.421875" defaultRowHeight="12.75"/>
  <cols>
    <col min="1" max="1" width="18.57421875" style="1" customWidth="1"/>
    <col min="2" max="2" width="37.28125" style="7" customWidth="1"/>
    <col min="3" max="3" width="18.00390625" style="1" customWidth="1"/>
    <col min="4" max="4" width="0.42578125" style="1" hidden="1" customWidth="1"/>
    <col min="5" max="5" width="11.28125" style="8" customWidth="1"/>
    <col min="6" max="6" width="32.00390625" style="8" customWidth="1"/>
    <col min="7" max="7" width="12.7109375" style="8" bestFit="1" customWidth="1"/>
    <col min="8" max="9" width="12.7109375" style="1" customWidth="1"/>
    <col min="10" max="10" width="14.28125" style="1" customWidth="1"/>
    <col min="11" max="16384" width="11.421875" style="1" customWidth="1"/>
  </cols>
  <sheetData>
    <row r="1" ht="12.75">
      <c r="A1" s="6" t="s">
        <v>47</v>
      </c>
    </row>
    <row r="2" spans="1:4" ht="12.75">
      <c r="A2" s="14" t="s">
        <v>165</v>
      </c>
      <c r="C2" s="9"/>
      <c r="D2" s="9"/>
    </row>
    <row r="3" ht="12.75">
      <c r="A3" s="1" t="s">
        <v>151</v>
      </c>
    </row>
    <row r="4" spans="1:4" ht="12.75">
      <c r="A4" s="6"/>
      <c r="C4" s="10"/>
      <c r="D4" s="10"/>
    </row>
    <row r="5" spans="2:6" ht="13.5" thickBot="1">
      <c r="B5" s="11" t="s">
        <v>29</v>
      </c>
      <c r="C5" s="12" t="s">
        <v>30</v>
      </c>
      <c r="D5" s="12"/>
      <c r="E5" s="13" t="s">
        <v>31</v>
      </c>
      <c r="F5" s="12" t="s">
        <v>137</v>
      </c>
    </row>
    <row r="6" spans="1:5" ht="13.5" thickBot="1">
      <c r="A6" s="14" t="s">
        <v>73</v>
      </c>
      <c r="B6" s="11" t="s">
        <v>5</v>
      </c>
      <c r="C6" s="39">
        <f>+C8+C18</f>
        <v>3305306200</v>
      </c>
      <c r="D6" s="24">
        <v>5063128000</v>
      </c>
      <c r="E6" s="130">
        <f>+C6/C28</f>
        <v>0.7150225627668918</v>
      </c>
    </row>
    <row r="7" spans="3:5" ht="12.75">
      <c r="C7" s="16"/>
      <c r="D7" s="16"/>
      <c r="E7" s="15"/>
    </row>
    <row r="8" spans="1:5" ht="12.75">
      <c r="A8" s="14" t="s">
        <v>74</v>
      </c>
      <c r="B8" s="11" t="s">
        <v>6</v>
      </c>
      <c r="C8" s="42">
        <f>+C10+C16</f>
        <v>296616200</v>
      </c>
      <c r="D8" s="24">
        <v>118400000</v>
      </c>
      <c r="E8" s="130">
        <f>+C8/C28</f>
        <v>0.06416569680660053</v>
      </c>
    </row>
    <row r="9" spans="3:5" ht="12.75">
      <c r="C9" s="16"/>
      <c r="D9" s="16"/>
      <c r="E9" s="15"/>
    </row>
    <row r="10" spans="1:5" ht="12.75">
      <c r="A10" s="14" t="s">
        <v>75</v>
      </c>
      <c r="B10" s="11" t="s">
        <v>7</v>
      </c>
      <c r="C10" s="42">
        <f>+C13+C11</f>
        <v>171236200</v>
      </c>
      <c r="D10" s="16">
        <v>90400000</v>
      </c>
      <c r="E10" s="130">
        <f>+C10/C28</f>
        <v>0.03704278489008493</v>
      </c>
    </row>
    <row r="11" spans="1:5" ht="12.75">
      <c r="A11" s="14" t="s">
        <v>161</v>
      </c>
      <c r="B11" s="11" t="s">
        <v>162</v>
      </c>
      <c r="C11" s="42">
        <f>+C12</f>
        <v>3593700</v>
      </c>
      <c r="D11" s="16"/>
      <c r="E11" s="130">
        <f>+C11/C28</f>
        <v>0.0007774095434230508</v>
      </c>
    </row>
    <row r="12" spans="1:6" ht="26.25" customHeight="1">
      <c r="A12" s="131" t="s">
        <v>164</v>
      </c>
      <c r="B12" s="135" t="s">
        <v>163</v>
      </c>
      <c r="C12" s="16">
        <f>+osn!C12</f>
        <v>3593700</v>
      </c>
      <c r="D12" s="16"/>
      <c r="E12" s="130">
        <f>+C12/C28</f>
        <v>0.0007774095434230508</v>
      </c>
      <c r="F12" s="181" t="s">
        <v>166</v>
      </c>
    </row>
    <row r="13" spans="1:5" ht="12.75">
      <c r="A13" s="14" t="s">
        <v>76</v>
      </c>
      <c r="B13" s="11" t="s">
        <v>77</v>
      </c>
      <c r="C13" s="42">
        <f>+C14</f>
        <v>167642500</v>
      </c>
      <c r="D13" s="16"/>
      <c r="E13" s="15">
        <f>+C13/C28</f>
        <v>0.036265375346661875</v>
      </c>
    </row>
    <row r="14" spans="1:6" ht="34.5" customHeight="1">
      <c r="A14" s="1" t="s">
        <v>78</v>
      </c>
      <c r="B14" s="7" t="s">
        <v>79</v>
      </c>
      <c r="C14" s="16">
        <f>+osn!C14+'in-lirica'!C14</f>
        <v>167642500</v>
      </c>
      <c r="D14" s="16"/>
      <c r="E14" s="15">
        <f>+C14/C28</f>
        <v>0.036265375346661875</v>
      </c>
      <c r="F14" s="181" t="s">
        <v>156</v>
      </c>
    </row>
    <row r="15" spans="1:5" ht="12.75">
      <c r="A15" s="14" t="s">
        <v>80</v>
      </c>
      <c r="B15" s="11" t="s">
        <v>81</v>
      </c>
      <c r="C15" s="24">
        <f>+C16</f>
        <v>125380000</v>
      </c>
      <c r="D15" s="24">
        <v>28000000</v>
      </c>
      <c r="E15" s="15">
        <f>+C15/C28</f>
        <v>0.0271229119165156</v>
      </c>
    </row>
    <row r="16" spans="1:5" ht="25.5">
      <c r="A16" s="14" t="s">
        <v>82</v>
      </c>
      <c r="B16" s="11" t="s">
        <v>83</v>
      </c>
      <c r="C16" s="16">
        <f>+C17</f>
        <v>125380000</v>
      </c>
      <c r="D16" s="16"/>
      <c r="E16" s="15">
        <f>+C16/C28</f>
        <v>0.0271229119165156</v>
      </c>
    </row>
    <row r="17" spans="1:6" ht="26.25" thickBot="1">
      <c r="A17" s="17" t="s">
        <v>84</v>
      </c>
      <c r="B17" s="7" t="s">
        <v>85</v>
      </c>
      <c r="C17" s="16">
        <f>+INM!C17</f>
        <v>125380000</v>
      </c>
      <c r="D17" s="16"/>
      <c r="E17" s="15">
        <f>+C17/C28</f>
        <v>0.0271229119165156</v>
      </c>
      <c r="F17" s="133" t="s">
        <v>138</v>
      </c>
    </row>
    <row r="18" spans="1:5" ht="13.5" thickBot="1">
      <c r="A18" s="14" t="s">
        <v>86</v>
      </c>
      <c r="B18" s="11" t="s">
        <v>3</v>
      </c>
      <c r="C18" s="39">
        <f>+C19</f>
        <v>3008690000</v>
      </c>
      <c r="D18" s="40">
        <v>4944728000</v>
      </c>
      <c r="E18" s="130">
        <f>+C18/C28</f>
        <v>0.6508568659602912</v>
      </c>
    </row>
    <row r="19" spans="1:10" ht="25.5">
      <c r="A19" s="14" t="s">
        <v>87</v>
      </c>
      <c r="B19" s="11" t="s">
        <v>88</v>
      </c>
      <c r="C19" s="41">
        <f>+C20+C21</f>
        <v>3008690000</v>
      </c>
      <c r="D19" s="42"/>
      <c r="E19" s="15">
        <f>+C19/C28</f>
        <v>0.6508568659602912</v>
      </c>
      <c r="H19" s="8"/>
      <c r="I19" s="8"/>
      <c r="J19" s="8"/>
    </row>
    <row r="20" spans="1:10" ht="25.5">
      <c r="A20" s="17" t="s">
        <v>89</v>
      </c>
      <c r="B20" s="18" t="s">
        <v>90</v>
      </c>
      <c r="C20" s="16">
        <f>+osn!C20+INM!C20+'in-coro'!C20+'in-lirica'!C20</f>
        <v>2857490000</v>
      </c>
      <c r="D20" s="16"/>
      <c r="E20" s="15">
        <f>+C20/C28</f>
        <v>0.6181484253654822</v>
      </c>
      <c r="F20" s="132" t="s">
        <v>139</v>
      </c>
      <c r="H20" s="16"/>
      <c r="I20" s="16"/>
      <c r="J20" s="8"/>
    </row>
    <row r="21" spans="1:10" ht="25.5">
      <c r="A21" s="17" t="s">
        <v>91</v>
      </c>
      <c r="B21" s="18" t="s">
        <v>92</v>
      </c>
      <c r="C21" s="16">
        <f>+INM!C21</f>
        <v>151200000</v>
      </c>
      <c r="D21" s="16"/>
      <c r="E21" s="15">
        <f>+C21/C28</f>
        <v>0.03270844059480905</v>
      </c>
      <c r="F21" s="132" t="s">
        <v>140</v>
      </c>
      <c r="G21" s="19"/>
      <c r="H21" s="19"/>
      <c r="I21" s="19"/>
      <c r="J21" s="19"/>
    </row>
    <row r="22" spans="1:10" ht="13.5" thickBot="1">
      <c r="A22" s="17"/>
      <c r="B22" s="18"/>
      <c r="C22" s="16"/>
      <c r="D22" s="16"/>
      <c r="E22" s="15"/>
      <c r="F22" s="132"/>
      <c r="G22" s="19"/>
      <c r="H22" s="19"/>
      <c r="I22" s="19"/>
      <c r="J22" s="19"/>
    </row>
    <row r="23" spans="1:10" ht="13.5" thickBot="1">
      <c r="A23" s="14" t="s">
        <v>141</v>
      </c>
      <c r="B23" s="11" t="s">
        <v>142</v>
      </c>
      <c r="C23" s="39">
        <f>+C24+C25</f>
        <v>1317353800</v>
      </c>
      <c r="D23" s="16"/>
      <c r="E23" s="130">
        <f>+C23/C28</f>
        <v>0.2849774372331082</v>
      </c>
      <c r="F23" s="132" t="s">
        <v>147</v>
      </c>
      <c r="G23" s="19"/>
      <c r="H23" s="19"/>
      <c r="I23" s="19"/>
      <c r="J23" s="19"/>
    </row>
    <row r="24" spans="1:10" ht="12.75">
      <c r="A24" s="17" t="s">
        <v>143</v>
      </c>
      <c r="B24" s="18" t="s">
        <v>144</v>
      </c>
      <c r="C24" s="16">
        <f>+osn!C24+INM!C24+'in-coro'!C24+'in-lirica'!C24</f>
        <v>1317353800</v>
      </c>
      <c r="D24" s="16"/>
      <c r="E24" s="15">
        <f>+C24/C28</f>
        <v>0.2849774372331082</v>
      </c>
      <c r="F24" s="132"/>
      <c r="G24" s="19"/>
      <c r="H24" s="19"/>
      <c r="I24" s="19"/>
      <c r="J24" s="19"/>
    </row>
    <row r="25" spans="1:10" ht="12.75">
      <c r="A25" s="17" t="s">
        <v>145</v>
      </c>
      <c r="B25" s="18" t="s">
        <v>146</v>
      </c>
      <c r="C25" s="16">
        <f>+osn!C25+INM!C25+'in-coro'!C25+'in-lirica'!C25</f>
        <v>0</v>
      </c>
      <c r="D25" s="16"/>
      <c r="E25" s="15">
        <v>0</v>
      </c>
      <c r="F25" s="132"/>
      <c r="G25" s="19"/>
      <c r="H25" s="19"/>
      <c r="I25" s="19"/>
      <c r="J25" s="19"/>
    </row>
    <row r="26" spans="1:10" ht="12.75">
      <c r="A26" s="17"/>
      <c r="B26" s="18"/>
      <c r="C26" s="16"/>
      <c r="D26" s="16"/>
      <c r="E26" s="15"/>
      <c r="F26" s="132"/>
      <c r="G26" s="19"/>
      <c r="H26" s="19"/>
      <c r="I26" s="19"/>
      <c r="J26" s="19"/>
    </row>
    <row r="27" spans="3:5" ht="12.75">
      <c r="C27" s="16"/>
      <c r="D27" s="16"/>
      <c r="E27" s="15"/>
    </row>
    <row r="28" spans="1:7" ht="12.75">
      <c r="A28" s="136" t="s">
        <v>32</v>
      </c>
      <c r="B28" s="137"/>
      <c r="C28" s="138">
        <f>+C6+C23</f>
        <v>4622660000</v>
      </c>
      <c r="D28" s="138">
        <v>5063128000</v>
      </c>
      <c r="E28" s="139">
        <v>100</v>
      </c>
      <c r="F28" s="23"/>
      <c r="G28" s="23"/>
    </row>
    <row r="29" spans="3:5" ht="12.75">
      <c r="C29" s="16"/>
      <c r="D29" s="16"/>
      <c r="E29" s="15"/>
    </row>
    <row r="30" spans="1:5" ht="12.75">
      <c r="A30" s="14"/>
      <c r="B30" s="11"/>
      <c r="C30" s="24"/>
      <c r="D30" s="24">
        <v>5063128000</v>
      </c>
      <c r="E30" s="16"/>
    </row>
    <row r="31" spans="1:5" ht="12.75">
      <c r="A31" s="14"/>
      <c r="B31" s="11"/>
      <c r="C31" s="16"/>
      <c r="D31" s="16"/>
      <c r="E31" s="16"/>
    </row>
    <row r="32" spans="1:5" ht="12.75">
      <c r="A32" s="14"/>
      <c r="B32" s="11"/>
      <c r="C32" s="16"/>
      <c r="D32" s="16"/>
      <c r="E32" s="16"/>
    </row>
    <row r="33" spans="2:5" ht="12.75">
      <c r="B33" s="25"/>
      <c r="C33" s="59"/>
      <c r="D33" s="26"/>
      <c r="E33" s="26"/>
    </row>
    <row r="34" spans="1:5" ht="12.75">
      <c r="A34" s="14"/>
      <c r="B34" s="27"/>
      <c r="C34" s="28"/>
      <c r="D34" s="26"/>
      <c r="E34" s="26"/>
    </row>
    <row r="35" spans="2:5" ht="12.75">
      <c r="B35" s="25"/>
      <c r="C35" s="26"/>
      <c r="D35" s="26"/>
      <c r="E35" s="28"/>
    </row>
    <row r="36" spans="2:5" ht="12.75">
      <c r="B36" s="32"/>
      <c r="C36" s="26"/>
      <c r="D36" s="26"/>
      <c r="E36" s="28"/>
    </row>
    <row r="37" spans="2:5" ht="12.75">
      <c r="B37" s="25"/>
      <c r="C37" s="40"/>
      <c r="D37" s="29"/>
      <c r="E37" s="28"/>
    </row>
    <row r="38" spans="2:5" ht="12.75">
      <c r="B38" s="25"/>
      <c r="C38" s="26"/>
      <c r="D38" s="26"/>
      <c r="E38" s="28"/>
    </row>
    <row r="39" spans="2:5" ht="12.75">
      <c r="B39" s="25"/>
      <c r="C39" s="26"/>
      <c r="D39" s="26"/>
      <c r="E39" s="28"/>
    </row>
    <row r="40" spans="2:5" ht="12.75">
      <c r="B40" s="30"/>
      <c r="C40" s="24"/>
      <c r="D40" s="24"/>
      <c r="E40" s="24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</sheetData>
  <sheetProtection/>
  <printOptions horizontalCentered="1" verticalCentered="1"/>
  <pageMargins left="0" right="0.3937007874015748" top="0.9055118110236221" bottom="1.4173228346456694" header="0.5118110236220472" footer="1.6535433070866143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8"/>
  </sheetPr>
  <dimension ref="A1:N98"/>
  <sheetViews>
    <sheetView showGridLines="0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6" sqref="I6"/>
    </sheetView>
  </sheetViews>
  <sheetFormatPr defaultColWidth="11.421875" defaultRowHeight="12.75"/>
  <cols>
    <col min="1" max="1" width="28.8515625" style="5" customWidth="1"/>
    <col min="2" max="2" width="55.57421875" style="1" customWidth="1"/>
    <col min="3" max="3" width="20.28125" style="1" customWidth="1"/>
    <col min="4" max="4" width="12.421875" style="1" bestFit="1" customWidth="1"/>
    <col min="5" max="5" width="19.57421875" style="8" hidden="1" customWidth="1"/>
    <col min="6" max="6" width="19.8515625" style="8" customWidth="1"/>
    <col min="7" max="7" width="12.28125" style="8" bestFit="1" customWidth="1"/>
    <col min="8" max="8" width="15.28125" style="8" bestFit="1" customWidth="1"/>
    <col min="9" max="9" width="21.28125" style="8" bestFit="1" customWidth="1"/>
    <col min="10" max="10" width="11.28125" style="106" customWidth="1"/>
    <col min="11" max="11" width="13.140625" style="1" bestFit="1" customWidth="1"/>
    <col min="12" max="12" width="13.7109375" style="1" bestFit="1" customWidth="1"/>
    <col min="13" max="16384" width="11.421875" style="1" customWidth="1"/>
  </cols>
  <sheetData>
    <row r="1" spans="1:12" ht="20.25">
      <c r="A1" s="84" t="s">
        <v>46</v>
      </c>
      <c r="B1" s="85"/>
      <c r="C1" s="85"/>
      <c r="D1" s="85"/>
      <c r="E1" s="61"/>
      <c r="F1" s="61"/>
      <c r="G1" s="61"/>
      <c r="H1" s="61"/>
      <c r="I1" s="61"/>
      <c r="J1" s="86"/>
      <c r="K1" s="85"/>
      <c r="L1" s="2"/>
    </row>
    <row r="2" spans="1:12" ht="20.25">
      <c r="A2" s="84" t="s">
        <v>155</v>
      </c>
      <c r="B2" s="85"/>
      <c r="C2" s="85"/>
      <c r="D2" s="85"/>
      <c r="E2" s="61"/>
      <c r="F2" s="61"/>
      <c r="G2" s="61"/>
      <c r="H2" s="61"/>
      <c r="I2" s="61"/>
      <c r="J2" s="86"/>
      <c r="K2" s="85"/>
      <c r="L2" s="2"/>
    </row>
    <row r="3" spans="1:12" ht="20.25">
      <c r="A3" s="84" t="s">
        <v>34</v>
      </c>
      <c r="B3" s="85"/>
      <c r="C3" s="85"/>
      <c r="D3" s="83"/>
      <c r="E3" s="61"/>
      <c r="F3" s="61"/>
      <c r="G3" s="61"/>
      <c r="H3" s="83"/>
      <c r="I3" s="61"/>
      <c r="J3" s="86"/>
      <c r="K3" s="85"/>
      <c r="L3" s="2"/>
    </row>
    <row r="4" spans="1:12" ht="20.25">
      <c r="A4" s="87" t="s">
        <v>28</v>
      </c>
      <c r="B4" s="85"/>
      <c r="C4" s="85"/>
      <c r="D4" s="85"/>
      <c r="E4" s="61"/>
      <c r="F4" s="61"/>
      <c r="G4" s="61"/>
      <c r="H4" s="61"/>
      <c r="I4" s="61"/>
      <c r="J4" s="86"/>
      <c r="K4" s="85"/>
      <c r="L4" s="2"/>
    </row>
    <row r="5" spans="1:12" ht="90.75">
      <c r="A5" s="87"/>
      <c r="B5" s="85" t="s">
        <v>29</v>
      </c>
      <c r="C5" s="88" t="s">
        <v>157</v>
      </c>
      <c r="D5" s="88" t="s">
        <v>31</v>
      </c>
      <c r="E5" s="89" t="s">
        <v>135</v>
      </c>
      <c r="F5" s="62" t="s">
        <v>158</v>
      </c>
      <c r="G5" s="89" t="s">
        <v>31</v>
      </c>
      <c r="H5" s="62" t="s">
        <v>43</v>
      </c>
      <c r="I5" s="62" t="s">
        <v>159</v>
      </c>
      <c r="J5" s="90" t="s">
        <v>31</v>
      </c>
      <c r="K5" s="62" t="s">
        <v>44</v>
      </c>
      <c r="L5" s="2"/>
    </row>
    <row r="6" spans="1:14" ht="20.25">
      <c r="A6" s="87" t="s">
        <v>120</v>
      </c>
      <c r="B6" s="91" t="s">
        <v>5</v>
      </c>
      <c r="C6" s="63">
        <f>+C9+C33+C27</f>
        <v>3301712.5</v>
      </c>
      <c r="D6" s="86">
        <f>+C6/C56</f>
        <v>0.7148008462229694</v>
      </c>
      <c r="E6" s="63">
        <v>38681.24363</v>
      </c>
      <c r="F6" s="63">
        <f>+F9+F33+F27</f>
        <v>3326102.5</v>
      </c>
      <c r="G6" s="63">
        <f>+F6/F56</f>
        <v>0.4696762907870083</v>
      </c>
      <c r="H6" s="63">
        <f>+(C6-F6)/C6</f>
        <v>-0.007387075646350189</v>
      </c>
      <c r="I6" s="63">
        <f>+I9+I33+I27</f>
        <v>3439634.3155900002</v>
      </c>
      <c r="J6" s="63">
        <v>1</v>
      </c>
      <c r="K6" s="63">
        <f>+(F6-I6)/F6</f>
        <v>-0.0341335889648621</v>
      </c>
      <c r="L6" s="82"/>
      <c r="M6" s="16"/>
      <c r="N6" s="16"/>
    </row>
    <row r="7" spans="1:14" ht="20.25">
      <c r="A7" s="87"/>
      <c r="B7" s="91"/>
      <c r="C7" s="63"/>
      <c r="D7" s="86"/>
      <c r="E7" s="63"/>
      <c r="F7" s="63"/>
      <c r="G7" s="63"/>
      <c r="H7" s="63"/>
      <c r="I7" s="63"/>
      <c r="J7" s="63"/>
      <c r="K7" s="63"/>
      <c r="L7" s="82"/>
      <c r="M7" s="16"/>
      <c r="N7" s="16"/>
    </row>
    <row r="8" spans="1:14" ht="20.25">
      <c r="A8" s="87"/>
      <c r="B8" s="85"/>
      <c r="C8" s="63"/>
      <c r="D8" s="86"/>
      <c r="E8" s="63"/>
      <c r="F8" s="63"/>
      <c r="G8" s="63"/>
      <c r="H8" s="63"/>
      <c r="I8" s="63"/>
      <c r="J8" s="63"/>
      <c r="K8" s="63"/>
      <c r="L8" s="82"/>
      <c r="M8" s="16"/>
      <c r="N8" s="16"/>
    </row>
    <row r="9" spans="1:14" ht="20.25">
      <c r="A9" s="87" t="s">
        <v>119</v>
      </c>
      <c r="B9" s="92" t="s">
        <v>6</v>
      </c>
      <c r="C9" s="63">
        <f>+C13+C23</f>
        <v>293022.5</v>
      </c>
      <c r="D9" s="86">
        <f>+C9/C56</f>
        <v>0.06343760426214276</v>
      </c>
      <c r="E9" s="63">
        <f>+E13+E25</f>
        <v>69179.02044</v>
      </c>
      <c r="F9" s="63">
        <f>+F13+F23</f>
        <v>302462.5</v>
      </c>
      <c r="G9" s="63">
        <f>+F9/F56</f>
        <v>0.042710489259475765</v>
      </c>
      <c r="H9" s="63">
        <f>+(C9-F9)/C9</f>
        <v>-0.03221595611258521</v>
      </c>
      <c r="I9" s="63">
        <f>+I13+I25</f>
        <v>189311.17996999997</v>
      </c>
      <c r="J9" s="63">
        <f>+I9/I6</f>
        <v>0.05503817051480004</v>
      </c>
      <c r="K9" s="63">
        <f>+(F9-I9)/F9</f>
        <v>0.3741003265859405</v>
      </c>
      <c r="L9" s="82"/>
      <c r="M9" s="16"/>
      <c r="N9" s="16"/>
    </row>
    <row r="10" spans="1:14" ht="20.25">
      <c r="A10" s="87"/>
      <c r="B10" s="85"/>
      <c r="C10" s="63"/>
      <c r="D10" s="86"/>
      <c r="E10" s="63"/>
      <c r="F10" s="63"/>
      <c r="G10" s="63"/>
      <c r="H10" s="63"/>
      <c r="I10" s="63"/>
      <c r="J10" s="63"/>
      <c r="K10" s="63"/>
      <c r="L10" s="82"/>
      <c r="M10" s="16"/>
      <c r="N10" s="16"/>
    </row>
    <row r="11" spans="1:14" ht="20.25" hidden="1">
      <c r="A11" s="87" t="s">
        <v>98</v>
      </c>
      <c r="B11" s="85" t="s">
        <v>7</v>
      </c>
      <c r="C11" s="63">
        <v>0</v>
      </c>
      <c r="D11" s="86"/>
      <c r="E11" s="63"/>
      <c r="F11" s="63">
        <v>0</v>
      </c>
      <c r="G11" s="63">
        <v>0</v>
      </c>
      <c r="H11" s="63" t="e">
        <v>#DIV/0!</v>
      </c>
      <c r="I11" s="63">
        <v>0</v>
      </c>
      <c r="J11" s="63">
        <v>0</v>
      </c>
      <c r="K11" s="63" t="e">
        <v>#DIV/0!</v>
      </c>
      <c r="L11" s="82"/>
      <c r="M11" s="16"/>
      <c r="N11" s="16"/>
    </row>
    <row r="12" spans="1:14" ht="20.25" hidden="1">
      <c r="A12" s="87" t="s">
        <v>99</v>
      </c>
      <c r="B12" s="85" t="s">
        <v>8</v>
      </c>
      <c r="C12" s="63">
        <v>0</v>
      </c>
      <c r="D12" s="86"/>
      <c r="E12" s="63"/>
      <c r="F12" s="63">
        <v>0</v>
      </c>
      <c r="G12" s="63">
        <v>0</v>
      </c>
      <c r="H12" s="63" t="e">
        <v>#DIV/0!</v>
      </c>
      <c r="I12" s="63"/>
      <c r="J12" s="63">
        <v>0</v>
      </c>
      <c r="K12" s="63" t="e">
        <v>#DIV/0!</v>
      </c>
      <c r="L12" s="82"/>
      <c r="M12" s="16"/>
      <c r="N12" s="16"/>
    </row>
    <row r="13" spans="1:14" ht="20.25">
      <c r="A13" s="93" t="s">
        <v>132</v>
      </c>
      <c r="B13" s="85" t="s">
        <v>133</v>
      </c>
      <c r="C13" s="63">
        <f>+('res-ing detalle'!C14)/1000</f>
        <v>167642.5</v>
      </c>
      <c r="D13" s="86">
        <f>+C13/C56</f>
        <v>0.036293590330149623</v>
      </c>
      <c r="E13" s="63">
        <f>56032296.46/1000</f>
        <v>56032.29646</v>
      </c>
      <c r="F13" s="63">
        <f>167462500/1000</f>
        <v>167462.5</v>
      </c>
      <c r="G13" s="63">
        <f>+F13/F56</f>
        <v>0.023647246543339953</v>
      </c>
      <c r="H13" s="63">
        <f>+(C13-F13)/C13</f>
        <v>0.0010737134079961824</v>
      </c>
      <c r="I13" s="63">
        <f>154640649.42/1000</f>
        <v>154640.64941999997</v>
      </c>
      <c r="J13" s="63">
        <f>+I13/I6</f>
        <v>0.044958456403082624</v>
      </c>
      <c r="K13" s="63">
        <f>+(F13-I13)/F13</f>
        <v>0.07656550320220962</v>
      </c>
      <c r="L13" s="82"/>
      <c r="M13" s="16"/>
      <c r="N13" s="16"/>
    </row>
    <row r="14" spans="1:14" ht="20.25" hidden="1">
      <c r="A14" s="87"/>
      <c r="B14" s="85" t="s">
        <v>9</v>
      </c>
      <c r="C14" s="63">
        <v>0</v>
      </c>
      <c r="D14" s="86"/>
      <c r="E14" s="63"/>
      <c r="F14" s="63"/>
      <c r="G14" s="63">
        <v>0</v>
      </c>
      <c r="H14" s="63" t="e">
        <v>#DIV/0!</v>
      </c>
      <c r="I14" s="63"/>
      <c r="J14" s="63">
        <v>0</v>
      </c>
      <c r="K14" s="63" t="e">
        <v>#DIV/0!</v>
      </c>
      <c r="L14" s="82"/>
      <c r="M14" s="16"/>
      <c r="N14" s="16"/>
    </row>
    <row r="15" spans="1:14" ht="20.25" hidden="1">
      <c r="A15" s="87"/>
      <c r="B15" s="85" t="s">
        <v>10</v>
      </c>
      <c r="C15" s="63">
        <v>0</v>
      </c>
      <c r="D15" s="86"/>
      <c r="E15" s="63"/>
      <c r="F15" s="63"/>
      <c r="G15" s="63">
        <v>0</v>
      </c>
      <c r="H15" s="63" t="e">
        <v>#DIV/0!</v>
      </c>
      <c r="I15" s="63"/>
      <c r="J15" s="63">
        <v>0</v>
      </c>
      <c r="K15" s="63" t="e">
        <v>#DIV/0!</v>
      </c>
      <c r="L15" s="82"/>
      <c r="M15" s="16"/>
      <c r="N15" s="16"/>
    </row>
    <row r="16" spans="1:14" ht="20.25">
      <c r="A16" s="87"/>
      <c r="B16" s="85"/>
      <c r="C16" s="63"/>
      <c r="D16" s="86"/>
      <c r="E16" s="63"/>
      <c r="F16" s="63"/>
      <c r="G16" s="63"/>
      <c r="H16" s="63"/>
      <c r="I16" s="63"/>
      <c r="J16" s="63"/>
      <c r="K16" s="63"/>
      <c r="L16" s="82"/>
      <c r="M16" s="16"/>
      <c r="N16" s="16"/>
    </row>
    <row r="17" spans="1:14" ht="20.25" hidden="1">
      <c r="A17" s="87" t="s">
        <v>121</v>
      </c>
      <c r="B17" s="92" t="s">
        <v>11</v>
      </c>
      <c r="C17" s="63">
        <v>0</v>
      </c>
      <c r="D17" s="86"/>
      <c r="E17" s="63"/>
      <c r="F17" s="63">
        <v>0</v>
      </c>
      <c r="G17" s="63"/>
      <c r="H17" s="63"/>
      <c r="I17" s="63">
        <v>0</v>
      </c>
      <c r="J17" s="63">
        <v>0</v>
      </c>
      <c r="K17" s="63" t="e">
        <v>#DIV/0!</v>
      </c>
      <c r="L17" s="82"/>
      <c r="M17" s="16"/>
      <c r="N17" s="16"/>
    </row>
    <row r="18" spans="1:14" ht="20.25" hidden="1">
      <c r="A18" s="87"/>
      <c r="B18" s="85"/>
      <c r="C18" s="63"/>
      <c r="D18" s="86"/>
      <c r="E18" s="63"/>
      <c r="F18" s="63"/>
      <c r="G18" s="63"/>
      <c r="H18" s="63"/>
      <c r="I18" s="63"/>
      <c r="J18" s="63"/>
      <c r="K18" s="63"/>
      <c r="L18" s="82"/>
      <c r="M18" s="16"/>
      <c r="N18" s="16"/>
    </row>
    <row r="19" spans="1:14" ht="20.25" hidden="1">
      <c r="A19" s="87" t="s">
        <v>122</v>
      </c>
      <c r="B19" s="92" t="s">
        <v>12</v>
      </c>
      <c r="C19" s="63"/>
      <c r="D19" s="86"/>
      <c r="E19" s="63"/>
      <c r="F19" s="63"/>
      <c r="G19" s="63"/>
      <c r="H19" s="63"/>
      <c r="I19" s="63"/>
      <c r="J19" s="63">
        <v>0</v>
      </c>
      <c r="K19" s="63" t="e">
        <v>#DIV/0!</v>
      </c>
      <c r="L19" s="82"/>
      <c r="M19" s="16"/>
      <c r="N19" s="16"/>
    </row>
    <row r="20" spans="1:14" ht="20.25" hidden="1">
      <c r="A20" s="87"/>
      <c r="B20" s="85"/>
      <c r="C20" s="63"/>
      <c r="D20" s="86"/>
      <c r="E20" s="63"/>
      <c r="F20" s="63"/>
      <c r="G20" s="63"/>
      <c r="H20" s="63"/>
      <c r="I20" s="63"/>
      <c r="J20" s="63"/>
      <c r="K20" s="63" t="e">
        <v>#DIV/0!</v>
      </c>
      <c r="L20" s="82"/>
      <c r="M20" s="16"/>
      <c r="N20" s="16"/>
    </row>
    <row r="21" spans="1:14" ht="20.25" hidden="1">
      <c r="A21" s="87" t="s">
        <v>123</v>
      </c>
      <c r="B21" s="85" t="s">
        <v>13</v>
      </c>
      <c r="C21" s="63"/>
      <c r="D21" s="86"/>
      <c r="E21" s="63"/>
      <c r="F21" s="63"/>
      <c r="G21" s="63"/>
      <c r="H21" s="63"/>
      <c r="I21" s="63"/>
      <c r="J21" s="63">
        <v>0</v>
      </c>
      <c r="K21" s="63" t="e">
        <v>#DIV/0!</v>
      </c>
      <c r="L21" s="82"/>
      <c r="M21" s="16"/>
      <c r="N21" s="16"/>
    </row>
    <row r="22" spans="1:14" ht="20.25">
      <c r="A22" s="94"/>
      <c r="B22" s="95"/>
      <c r="C22" s="64"/>
      <c r="D22" s="96"/>
      <c r="E22" s="64"/>
      <c r="F22" s="64"/>
      <c r="G22" s="64"/>
      <c r="H22" s="63"/>
      <c r="I22" s="64"/>
      <c r="J22" s="64"/>
      <c r="K22" s="64"/>
      <c r="L22" s="82"/>
      <c r="M22" s="16"/>
      <c r="N22" s="16"/>
    </row>
    <row r="23" spans="1:14" s="98" customFormat="1" ht="20.25">
      <c r="A23" s="87" t="s">
        <v>80</v>
      </c>
      <c r="B23" s="92" t="s">
        <v>14</v>
      </c>
      <c r="C23" s="63">
        <f>+C25</f>
        <v>125380</v>
      </c>
      <c r="D23" s="86">
        <f>+C23/C56</f>
        <v>0.02714401393199314</v>
      </c>
      <c r="E23" s="63">
        <f>+E25</f>
        <v>13146.72398</v>
      </c>
      <c r="F23" s="63">
        <f>+F25</f>
        <v>135000</v>
      </c>
      <c r="G23" s="63">
        <f>+F23/F6</f>
        <v>0.04058804561795675</v>
      </c>
      <c r="H23" s="63">
        <f>+(C23-F23)/C23</f>
        <v>-0.07672675067793906</v>
      </c>
      <c r="I23" s="63">
        <f>+I25</f>
        <v>34670.530549999996</v>
      </c>
      <c r="J23" s="63">
        <f>+I23/I6</f>
        <v>0.010079714111717415</v>
      </c>
      <c r="K23" s="63">
        <f>+(F23-I23)/F23</f>
        <v>0.7431812551851852</v>
      </c>
      <c r="L23" s="97"/>
      <c r="M23" s="22"/>
      <c r="N23" s="22"/>
    </row>
    <row r="24" spans="1:14" ht="20.25">
      <c r="A24" s="99"/>
      <c r="B24" s="100"/>
      <c r="C24" s="65"/>
      <c r="D24" s="101"/>
      <c r="E24" s="65"/>
      <c r="F24" s="65"/>
      <c r="G24" s="65"/>
      <c r="H24" s="63"/>
      <c r="I24" s="65"/>
      <c r="J24" s="65"/>
      <c r="K24" s="65"/>
      <c r="L24" s="82"/>
      <c r="M24" s="16"/>
      <c r="N24" s="16"/>
    </row>
    <row r="25" spans="1:14" ht="20.25">
      <c r="A25" s="87" t="s">
        <v>103</v>
      </c>
      <c r="B25" s="85" t="s">
        <v>153</v>
      </c>
      <c r="C25" s="63">
        <f>+('res-ing detalle'!C17)/1000</f>
        <v>125380</v>
      </c>
      <c r="D25" s="86">
        <f>+C25*1/C6</f>
        <v>0.037974233068445544</v>
      </c>
      <c r="E25" s="63">
        <f>13146723.98/1000</f>
        <v>13146.72398</v>
      </c>
      <c r="F25" s="63">
        <f>135000000/1000</f>
        <v>135000</v>
      </c>
      <c r="G25" s="63">
        <f>+F25/F56</f>
        <v>0.019063242716135815</v>
      </c>
      <c r="H25" s="63">
        <f>+(C25-F25)/C25</f>
        <v>-0.07672675067793906</v>
      </c>
      <c r="I25" s="63">
        <f>34670530.55/1000</f>
        <v>34670.530549999996</v>
      </c>
      <c r="J25" s="63">
        <f>+I25/I6</f>
        <v>0.010079714111717415</v>
      </c>
      <c r="K25" s="63">
        <f>+(F25-I25)/F25</f>
        <v>0.7431812551851852</v>
      </c>
      <c r="L25" s="82"/>
      <c r="M25" s="16"/>
      <c r="N25" s="16"/>
    </row>
    <row r="26" spans="1:14" ht="20.25">
      <c r="A26" s="94"/>
      <c r="B26" s="102"/>
      <c r="C26" s="64"/>
      <c r="D26" s="96"/>
      <c r="E26" s="64"/>
      <c r="F26" s="64"/>
      <c r="G26" s="64"/>
      <c r="H26" s="63"/>
      <c r="I26" s="64"/>
      <c r="J26" s="64"/>
      <c r="K26" s="64"/>
      <c r="L26" s="82"/>
      <c r="M26" s="16"/>
      <c r="N26" s="16"/>
    </row>
    <row r="27" spans="1:14" s="98" customFormat="1" ht="20.25">
      <c r="A27" s="87" t="s">
        <v>124</v>
      </c>
      <c r="B27" s="92" t="s">
        <v>15</v>
      </c>
      <c r="C27" s="63">
        <v>0</v>
      </c>
      <c r="D27" s="86">
        <v>0</v>
      </c>
      <c r="E27" s="63">
        <f>+E31</f>
        <v>379.58984999999996</v>
      </c>
      <c r="F27" s="63">
        <f>+F31</f>
        <v>0</v>
      </c>
      <c r="G27" s="63">
        <f>+F27/F6</f>
        <v>0</v>
      </c>
      <c r="H27" s="63">
        <v>0</v>
      </c>
      <c r="I27" s="63">
        <f>+I31</f>
        <v>19078.13754</v>
      </c>
      <c r="J27" s="63">
        <f>+I27/I6</f>
        <v>0.005546559834436216</v>
      </c>
      <c r="K27" s="63">
        <v>0</v>
      </c>
      <c r="L27" s="97"/>
      <c r="M27" s="22"/>
      <c r="N27" s="22"/>
    </row>
    <row r="28" spans="1:14" ht="20.25">
      <c r="A28" s="99"/>
      <c r="B28" s="100"/>
      <c r="C28" s="65"/>
      <c r="D28" s="101"/>
      <c r="E28" s="65"/>
      <c r="F28" s="65"/>
      <c r="G28" s="65"/>
      <c r="H28" s="63"/>
      <c r="I28" s="65"/>
      <c r="J28" s="65"/>
      <c r="K28" s="65"/>
      <c r="L28" s="82"/>
      <c r="M28" s="16"/>
      <c r="N28" s="16"/>
    </row>
    <row r="29" spans="1:14" ht="20.25">
      <c r="A29" s="87" t="s">
        <v>125</v>
      </c>
      <c r="B29" s="85" t="s">
        <v>16</v>
      </c>
      <c r="C29" s="63">
        <v>0</v>
      </c>
      <c r="D29" s="86">
        <v>0</v>
      </c>
      <c r="E29" s="63">
        <v>0</v>
      </c>
      <c r="F29" s="63"/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82"/>
      <c r="M29" s="16"/>
      <c r="N29" s="16"/>
    </row>
    <row r="30" spans="1:14" ht="20.25">
      <c r="A30" s="87"/>
      <c r="B30" s="85"/>
      <c r="C30" s="63"/>
      <c r="D30" s="86"/>
      <c r="E30" s="63"/>
      <c r="F30" s="63"/>
      <c r="G30" s="63"/>
      <c r="H30" s="63"/>
      <c r="I30" s="63"/>
      <c r="J30" s="63"/>
      <c r="K30" s="63"/>
      <c r="L30" s="82"/>
      <c r="M30" s="16"/>
      <c r="N30" s="16"/>
    </row>
    <row r="31" spans="1:14" ht="20.25">
      <c r="A31" s="87" t="s">
        <v>126</v>
      </c>
      <c r="B31" s="85" t="s">
        <v>35</v>
      </c>
      <c r="C31" s="63">
        <v>0</v>
      </c>
      <c r="D31" s="86">
        <v>0</v>
      </c>
      <c r="E31" s="63">
        <f>379589.85/1000</f>
        <v>379.58984999999996</v>
      </c>
      <c r="F31" s="63">
        <v>0</v>
      </c>
      <c r="G31" s="63">
        <f>+F31/F6</f>
        <v>0</v>
      </c>
      <c r="H31" s="63">
        <v>0</v>
      </c>
      <c r="I31" s="63">
        <f>19078137.54/1000</f>
        <v>19078.13754</v>
      </c>
      <c r="J31" s="63">
        <f>+I31/I6</f>
        <v>0.005546559834436216</v>
      </c>
      <c r="K31" s="63">
        <v>0</v>
      </c>
      <c r="L31" s="82"/>
      <c r="M31" s="16"/>
      <c r="N31" s="16"/>
    </row>
    <row r="32" spans="1:14" ht="20.25">
      <c r="A32" s="87"/>
      <c r="B32" s="85"/>
      <c r="C32" s="63"/>
      <c r="D32" s="86"/>
      <c r="E32" s="63"/>
      <c r="F32" s="63"/>
      <c r="G32" s="63"/>
      <c r="H32" s="63"/>
      <c r="I32" s="63"/>
      <c r="J32" s="63"/>
      <c r="K32" s="63"/>
      <c r="L32" s="82"/>
      <c r="M32" s="16"/>
      <c r="N32" s="16"/>
    </row>
    <row r="33" spans="1:14" ht="20.25">
      <c r="A33" s="87" t="s">
        <v>86</v>
      </c>
      <c r="B33" s="92" t="s">
        <v>134</v>
      </c>
      <c r="C33" s="63">
        <f>+C35+C37</f>
        <v>3008690</v>
      </c>
      <c r="D33" s="86">
        <f>+C33/C56</f>
        <v>0.6513632419608266</v>
      </c>
      <c r="E33" s="63">
        <f>+E35+E38</f>
        <v>21495.74358</v>
      </c>
      <c r="F33" s="63">
        <f>+F35+F38</f>
        <v>3023640</v>
      </c>
      <c r="G33" s="63">
        <f>+F33/F56</f>
        <v>0.4269658015275325</v>
      </c>
      <c r="H33" s="63">
        <f aca="true" t="shared" si="0" ref="H33:H50">+(C33-F33)/C33</f>
        <v>-0.004968939970551968</v>
      </c>
      <c r="I33" s="63">
        <f>+I35+I38</f>
        <v>3231244.9980800003</v>
      </c>
      <c r="J33" s="63">
        <f>+I33/I6</f>
        <v>0.9394152696507637</v>
      </c>
      <c r="K33" s="63">
        <f>+(F33-I33)/F33</f>
        <v>-0.06866062033840016</v>
      </c>
      <c r="L33" s="82"/>
      <c r="M33" s="16"/>
      <c r="N33" s="16"/>
    </row>
    <row r="34" spans="1:14" ht="20.25">
      <c r="A34" s="94"/>
      <c r="B34" s="102"/>
      <c r="C34" s="64"/>
      <c r="D34" s="96"/>
      <c r="E34" s="64"/>
      <c r="F34" s="67"/>
      <c r="G34" s="64"/>
      <c r="H34" s="63"/>
      <c r="I34" s="64"/>
      <c r="J34" s="64"/>
      <c r="K34" s="64"/>
      <c r="L34" s="82"/>
      <c r="M34" s="16"/>
      <c r="N34" s="16"/>
    </row>
    <row r="35" spans="1:14" s="98" customFormat="1" ht="20.25">
      <c r="A35" s="87" t="s">
        <v>89</v>
      </c>
      <c r="B35" s="85" t="s">
        <v>17</v>
      </c>
      <c r="C35" s="63">
        <f>+('res-ing detalle'!C20)/1000</f>
        <v>2857490</v>
      </c>
      <c r="D35" s="86">
        <f>+C35/C6</f>
        <v>0.8654569409056664</v>
      </c>
      <c r="E35" s="63">
        <v>0</v>
      </c>
      <c r="F35" s="63">
        <f>2895240000/1000</f>
        <v>2895240</v>
      </c>
      <c r="G35" s="63">
        <f>+F35/F56</f>
        <v>0.4088345395664078</v>
      </c>
      <c r="H35" s="63">
        <f t="shared" si="0"/>
        <v>-0.013210894876272533</v>
      </c>
      <c r="I35" s="63">
        <f>3108417560/1000</f>
        <v>3108417.56</v>
      </c>
      <c r="J35" s="63">
        <f>+I35/I6</f>
        <v>0.90370582300311</v>
      </c>
      <c r="K35" s="63">
        <v>0</v>
      </c>
      <c r="L35" s="97"/>
      <c r="M35" s="22"/>
      <c r="N35" s="22"/>
    </row>
    <row r="36" spans="1:14" ht="20.25">
      <c r="A36" s="99"/>
      <c r="B36" s="100"/>
      <c r="C36" s="60"/>
      <c r="D36" s="103"/>
      <c r="E36" s="65"/>
      <c r="F36" s="68"/>
      <c r="G36" s="65"/>
      <c r="H36" s="63"/>
      <c r="I36" s="65"/>
      <c r="J36" s="65"/>
      <c r="K36" s="65"/>
      <c r="L36" s="82"/>
      <c r="M36" s="16"/>
      <c r="N36" s="16"/>
    </row>
    <row r="37" spans="1:14" ht="20.25">
      <c r="A37" s="93" t="s">
        <v>111</v>
      </c>
      <c r="B37" s="85" t="s">
        <v>18</v>
      </c>
      <c r="C37" s="63">
        <f>+C38</f>
        <v>151200</v>
      </c>
      <c r="D37" s="86">
        <f>+C37/C6</f>
        <v>0.045794417291027005</v>
      </c>
      <c r="E37" s="63">
        <f>+E38</f>
        <v>21495.74358</v>
      </c>
      <c r="F37" s="63">
        <f>+F38</f>
        <v>128400</v>
      </c>
      <c r="G37" s="63">
        <f>+F37/F56</f>
        <v>0.018131261961124728</v>
      </c>
      <c r="H37" s="63">
        <f t="shared" si="0"/>
        <v>0.15079365079365079</v>
      </c>
      <c r="I37" s="63">
        <f>+I38</f>
        <v>122827.43807999999</v>
      </c>
      <c r="J37" s="63">
        <f>+I37/I6</f>
        <v>0.03570944664765371</v>
      </c>
      <c r="K37" s="63">
        <f>+(F37-I37)/F37</f>
        <v>0.04340001495327109</v>
      </c>
      <c r="L37" s="82"/>
      <c r="M37" s="16"/>
      <c r="N37" s="16"/>
    </row>
    <row r="38" spans="1:14" ht="20.25">
      <c r="A38" s="87"/>
      <c r="B38" s="85" t="s">
        <v>19</v>
      </c>
      <c r="C38" s="63">
        <f>+('res-ing detalle'!C21)/1000</f>
        <v>151200</v>
      </c>
      <c r="D38" s="86">
        <f>+C38/C6</f>
        <v>0.045794417291027005</v>
      </c>
      <c r="E38" s="63">
        <f>21495743.58/1000</f>
        <v>21495.74358</v>
      </c>
      <c r="F38" s="63">
        <f>128400000/1000</f>
        <v>128400</v>
      </c>
      <c r="G38" s="63">
        <f>+F38/F56</f>
        <v>0.018131261961124728</v>
      </c>
      <c r="H38" s="63">
        <f t="shared" si="0"/>
        <v>0.15079365079365079</v>
      </c>
      <c r="I38" s="63">
        <f>122827438.08/1000</f>
        <v>122827.43807999999</v>
      </c>
      <c r="J38" s="63">
        <f>+I38/I6</f>
        <v>0.03570944664765371</v>
      </c>
      <c r="K38" s="63">
        <f>+(F38-I38)/F38</f>
        <v>0.04340001495327109</v>
      </c>
      <c r="L38" s="82"/>
      <c r="M38" s="16"/>
      <c r="N38" s="16"/>
    </row>
    <row r="39" spans="1:14" ht="20.25" hidden="1">
      <c r="A39" s="93" t="s">
        <v>111</v>
      </c>
      <c r="B39" s="85" t="s">
        <v>20</v>
      </c>
      <c r="C39" s="63"/>
      <c r="D39" s="86"/>
      <c r="E39" s="63"/>
      <c r="F39" s="66"/>
      <c r="G39" s="63">
        <v>0</v>
      </c>
      <c r="H39" s="63" t="e">
        <f t="shared" si="0"/>
        <v>#DIV/0!</v>
      </c>
      <c r="I39" s="63">
        <v>0</v>
      </c>
      <c r="J39" s="63">
        <v>0</v>
      </c>
      <c r="K39" s="63" t="e">
        <v>#DIV/0!</v>
      </c>
      <c r="L39" s="82"/>
      <c r="M39" s="16"/>
      <c r="N39" s="16"/>
    </row>
    <row r="40" spans="1:14" ht="20.25" hidden="1">
      <c r="A40" s="87"/>
      <c r="B40" s="85"/>
      <c r="C40" s="63"/>
      <c r="D40" s="86"/>
      <c r="E40" s="63"/>
      <c r="F40" s="63"/>
      <c r="G40" s="63">
        <v>0</v>
      </c>
      <c r="H40" s="63" t="e">
        <f t="shared" si="0"/>
        <v>#DIV/0!</v>
      </c>
      <c r="I40" s="63"/>
      <c r="J40" s="63"/>
      <c r="K40" s="63"/>
      <c r="L40" s="82"/>
      <c r="M40" s="16"/>
      <c r="N40" s="16"/>
    </row>
    <row r="41" spans="1:14" ht="20.25" hidden="1">
      <c r="A41" s="87" t="s">
        <v>127</v>
      </c>
      <c r="B41" s="85" t="s">
        <v>21</v>
      </c>
      <c r="C41" s="63"/>
      <c r="D41" s="86"/>
      <c r="E41" s="63"/>
      <c r="F41" s="63"/>
      <c r="G41" s="63">
        <v>0</v>
      </c>
      <c r="H41" s="63" t="e">
        <f t="shared" si="0"/>
        <v>#DIV/0!</v>
      </c>
      <c r="I41" s="63">
        <v>0</v>
      </c>
      <c r="J41" s="63">
        <v>0</v>
      </c>
      <c r="K41" s="63" t="e">
        <v>#DIV/0!</v>
      </c>
      <c r="L41" s="82"/>
      <c r="M41" s="16"/>
      <c r="N41" s="16"/>
    </row>
    <row r="42" spans="1:14" ht="20.25" hidden="1">
      <c r="A42" s="87"/>
      <c r="B42" s="85"/>
      <c r="C42" s="63"/>
      <c r="D42" s="86"/>
      <c r="E42" s="63"/>
      <c r="F42" s="63"/>
      <c r="G42" s="63">
        <v>0</v>
      </c>
      <c r="H42" s="63" t="e">
        <f t="shared" si="0"/>
        <v>#DIV/0!</v>
      </c>
      <c r="I42" s="63"/>
      <c r="J42" s="63"/>
      <c r="K42" s="63"/>
      <c r="L42" s="82"/>
      <c r="M42" s="16"/>
      <c r="N42" s="16"/>
    </row>
    <row r="43" spans="1:14" ht="20.25" hidden="1">
      <c r="A43" s="87">
        <v>132</v>
      </c>
      <c r="B43" s="92" t="s">
        <v>22</v>
      </c>
      <c r="C43" s="63">
        <v>0</v>
      </c>
      <c r="D43" s="86"/>
      <c r="E43" s="63"/>
      <c r="F43" s="63">
        <v>0</v>
      </c>
      <c r="G43" s="63">
        <v>0</v>
      </c>
      <c r="H43" s="63" t="e">
        <f t="shared" si="0"/>
        <v>#DIV/0!</v>
      </c>
      <c r="I43" s="63">
        <v>0</v>
      </c>
      <c r="J43" s="63">
        <v>0</v>
      </c>
      <c r="K43" s="63" t="e">
        <v>#DIV/0!</v>
      </c>
      <c r="L43" s="82"/>
      <c r="M43" s="16"/>
      <c r="N43" s="16"/>
    </row>
    <row r="44" spans="1:14" ht="20.25" hidden="1">
      <c r="A44" s="87"/>
      <c r="B44" s="85"/>
      <c r="C44" s="63"/>
      <c r="D44" s="86"/>
      <c r="E44" s="63"/>
      <c r="F44" s="63"/>
      <c r="G44" s="63">
        <v>0</v>
      </c>
      <c r="H44" s="63" t="e">
        <f t="shared" si="0"/>
        <v>#DIV/0!</v>
      </c>
      <c r="I44" s="63"/>
      <c r="J44" s="63"/>
      <c r="K44" s="63"/>
      <c r="L44" s="82"/>
      <c r="M44" s="16"/>
      <c r="N44" s="16"/>
    </row>
    <row r="45" spans="1:14" ht="20.25" hidden="1">
      <c r="A45" s="93" t="s">
        <v>110</v>
      </c>
      <c r="B45" s="85" t="s">
        <v>17</v>
      </c>
      <c r="C45" s="63"/>
      <c r="D45" s="86"/>
      <c r="E45" s="63"/>
      <c r="F45" s="63"/>
      <c r="G45" s="63">
        <v>0</v>
      </c>
      <c r="H45" s="63" t="e">
        <f t="shared" si="0"/>
        <v>#DIV/0!</v>
      </c>
      <c r="I45" s="63"/>
      <c r="J45" s="63">
        <v>0</v>
      </c>
      <c r="K45" s="63" t="e">
        <v>#DIV/0!</v>
      </c>
      <c r="L45" s="82"/>
      <c r="M45" s="16"/>
      <c r="N45" s="16"/>
    </row>
    <row r="46" spans="1:14" ht="20.25" hidden="1">
      <c r="A46" s="93" t="s">
        <v>111</v>
      </c>
      <c r="B46" s="85" t="s">
        <v>18</v>
      </c>
      <c r="C46" s="63"/>
      <c r="D46" s="86"/>
      <c r="E46" s="63"/>
      <c r="F46" s="63"/>
      <c r="G46" s="63">
        <v>0</v>
      </c>
      <c r="H46" s="63" t="e">
        <f t="shared" si="0"/>
        <v>#DIV/0!</v>
      </c>
      <c r="I46" s="70"/>
      <c r="J46" s="63">
        <v>0</v>
      </c>
      <c r="K46" s="63" t="e">
        <v>#DIV/0!</v>
      </c>
      <c r="L46" s="82"/>
      <c r="M46" s="16"/>
      <c r="N46" s="16"/>
    </row>
    <row r="47" spans="1:14" ht="20.25" hidden="1">
      <c r="A47" s="87"/>
      <c r="B47" s="85" t="s">
        <v>33</v>
      </c>
      <c r="C47" s="63"/>
      <c r="D47" s="86"/>
      <c r="E47" s="63"/>
      <c r="F47" s="63"/>
      <c r="G47" s="63">
        <v>0</v>
      </c>
      <c r="H47" s="63" t="e">
        <f t="shared" si="0"/>
        <v>#DIV/0!</v>
      </c>
      <c r="I47" s="63"/>
      <c r="J47" s="63">
        <v>0</v>
      </c>
      <c r="K47" s="63" t="e">
        <v>#DIV/0!</v>
      </c>
      <c r="L47" s="82"/>
      <c r="M47" s="16"/>
      <c r="N47" s="16"/>
    </row>
    <row r="48" spans="1:14" ht="20.25" hidden="1">
      <c r="A48" s="87"/>
      <c r="B48" s="85" t="s">
        <v>23</v>
      </c>
      <c r="C48" s="63"/>
      <c r="D48" s="86"/>
      <c r="E48" s="63"/>
      <c r="F48" s="63"/>
      <c r="G48" s="63">
        <v>0</v>
      </c>
      <c r="H48" s="63" t="e">
        <f t="shared" si="0"/>
        <v>#DIV/0!</v>
      </c>
      <c r="I48" s="63">
        <v>0</v>
      </c>
      <c r="J48" s="63">
        <v>0</v>
      </c>
      <c r="K48" s="63" t="e">
        <v>#DIV/0!</v>
      </c>
      <c r="L48" s="82"/>
      <c r="M48" s="16"/>
      <c r="N48" s="16"/>
    </row>
    <row r="49" spans="1:14" ht="20.25" hidden="1">
      <c r="A49" s="87"/>
      <c r="B49" s="85"/>
      <c r="C49" s="63"/>
      <c r="D49" s="86"/>
      <c r="E49" s="63"/>
      <c r="F49" s="63"/>
      <c r="G49" s="63">
        <v>0</v>
      </c>
      <c r="H49" s="63" t="e">
        <f t="shared" si="0"/>
        <v>#DIV/0!</v>
      </c>
      <c r="I49" s="63"/>
      <c r="J49" s="63">
        <v>0</v>
      </c>
      <c r="K49" s="63"/>
      <c r="L49" s="82"/>
      <c r="M49" s="16"/>
      <c r="N49" s="16"/>
    </row>
    <row r="50" spans="1:14" ht="20.25" hidden="1">
      <c r="A50" s="87" t="s">
        <v>128</v>
      </c>
      <c r="B50" s="85" t="s">
        <v>21</v>
      </c>
      <c r="C50" s="63"/>
      <c r="D50" s="86"/>
      <c r="E50" s="63"/>
      <c r="F50" s="63"/>
      <c r="G50" s="63">
        <v>0</v>
      </c>
      <c r="H50" s="63" t="e">
        <f t="shared" si="0"/>
        <v>#DIV/0!</v>
      </c>
      <c r="I50" s="63"/>
      <c r="J50" s="63">
        <v>0</v>
      </c>
      <c r="K50" s="63" t="e">
        <v>#DIV/0!</v>
      </c>
      <c r="L50" s="82"/>
      <c r="M50" s="16"/>
      <c r="N50" s="16"/>
    </row>
    <row r="51" spans="1:14" ht="20.25">
      <c r="A51" s="87"/>
      <c r="B51" s="85"/>
      <c r="C51" s="63"/>
      <c r="D51" s="86"/>
      <c r="E51" s="63"/>
      <c r="F51" s="63"/>
      <c r="G51" s="63"/>
      <c r="H51" s="63"/>
      <c r="I51" s="63"/>
      <c r="J51" s="63"/>
      <c r="K51" s="63">
        <v>0</v>
      </c>
      <c r="L51" s="82"/>
      <c r="M51" s="16"/>
      <c r="N51" s="16"/>
    </row>
    <row r="52" spans="1:14" ht="20.25">
      <c r="A52" s="93" t="s">
        <v>114</v>
      </c>
      <c r="B52" s="91" t="s">
        <v>24</v>
      </c>
      <c r="C52" s="63">
        <v>0</v>
      </c>
      <c r="D52" s="86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82"/>
      <c r="M52" s="16"/>
      <c r="N52" s="16"/>
    </row>
    <row r="53" spans="1:14" ht="20.25">
      <c r="A53" s="87"/>
      <c r="B53" s="85"/>
      <c r="C53" s="63"/>
      <c r="D53" s="86"/>
      <c r="E53" s="63"/>
      <c r="F53" s="63"/>
      <c r="G53" s="63"/>
      <c r="H53" s="63"/>
      <c r="I53" s="63"/>
      <c r="J53" s="63"/>
      <c r="K53" s="63"/>
      <c r="L53" s="82"/>
      <c r="M53" s="16"/>
      <c r="N53" s="16"/>
    </row>
    <row r="54" spans="1:14" ht="20.25">
      <c r="A54" s="140" t="s">
        <v>115</v>
      </c>
      <c r="B54" s="141" t="s">
        <v>25</v>
      </c>
      <c r="C54" s="142">
        <f>+C55</f>
        <v>1317353.8</v>
      </c>
      <c r="D54" s="86">
        <f>+C54/C56</f>
        <v>0.2851991537770307</v>
      </c>
      <c r="E54" s="63"/>
      <c r="F54" s="63">
        <f>+F55</f>
        <v>3755588.79514</v>
      </c>
      <c r="G54" s="63">
        <f>+F54/F56</f>
        <v>0.5303237092129918</v>
      </c>
      <c r="H54" s="63">
        <v>0</v>
      </c>
      <c r="I54" s="63">
        <f>+I55</f>
        <v>2552819.226</v>
      </c>
      <c r="J54" s="63">
        <v>0</v>
      </c>
      <c r="K54" s="63">
        <v>0</v>
      </c>
      <c r="L54" s="82"/>
      <c r="M54" s="16"/>
      <c r="N54" s="16"/>
    </row>
    <row r="55" spans="1:14" ht="20.25">
      <c r="A55" s="93" t="s">
        <v>116</v>
      </c>
      <c r="B55" s="102" t="s">
        <v>26</v>
      </c>
      <c r="C55" s="64">
        <f>+('res-ing detalle'!C23)/1000</f>
        <v>1317353.8</v>
      </c>
      <c r="D55" s="86">
        <v>0</v>
      </c>
      <c r="E55" s="64"/>
      <c r="F55" s="64">
        <f>3755588795.14/1000</f>
        <v>3755588.79514</v>
      </c>
      <c r="G55" s="64">
        <v>0</v>
      </c>
      <c r="H55" s="63">
        <v>0</v>
      </c>
      <c r="I55" s="63">
        <f>2552819226/1000</f>
        <v>2552819.226</v>
      </c>
      <c r="J55" s="64">
        <v>0</v>
      </c>
      <c r="K55" s="64">
        <v>0</v>
      </c>
      <c r="L55" s="82"/>
      <c r="M55" s="16"/>
      <c r="N55" s="16"/>
    </row>
    <row r="56" spans="1:14" s="98" customFormat="1" ht="20.25">
      <c r="A56" s="87" t="s">
        <v>32</v>
      </c>
      <c r="B56" s="85"/>
      <c r="C56" s="142">
        <f>+C6+C54</f>
        <v>4619066.3</v>
      </c>
      <c r="D56" s="83">
        <f>+D33+D9+D54</f>
        <v>1</v>
      </c>
      <c r="E56" s="63">
        <f>+E6</f>
        <v>38681.24363</v>
      </c>
      <c r="F56" s="142">
        <f>+F6+F54</f>
        <v>7081691.29514</v>
      </c>
      <c r="G56" s="83">
        <f>+G33+G9+G54</f>
        <v>1</v>
      </c>
      <c r="H56" s="69">
        <f>+(C56-F56)/C56</f>
        <v>-0.5331434612964963</v>
      </c>
      <c r="I56" s="142">
        <f>+I6+I54</f>
        <v>5992453.54159</v>
      </c>
      <c r="J56" s="63">
        <v>100</v>
      </c>
      <c r="K56" s="64">
        <f>+(F56-I56)/F56</f>
        <v>0.15381039756668283</v>
      </c>
      <c r="L56" s="97"/>
      <c r="M56" s="22"/>
      <c r="N56" s="22"/>
    </row>
    <row r="57" spans="1:12" ht="20.25">
      <c r="A57" s="99"/>
      <c r="B57" s="100"/>
      <c r="C57" s="65"/>
      <c r="D57" s="65"/>
      <c r="E57" s="69"/>
      <c r="F57" s="69"/>
      <c r="G57" s="69"/>
      <c r="H57" s="69"/>
      <c r="I57" s="69"/>
      <c r="J57" s="101"/>
      <c r="K57" s="101"/>
      <c r="L57" s="2"/>
    </row>
    <row r="58" spans="2:12" ht="20.25">
      <c r="B58" s="2"/>
      <c r="C58" s="2"/>
      <c r="D58" s="2"/>
      <c r="E58" s="4"/>
      <c r="F58" s="4"/>
      <c r="G58" s="4"/>
      <c r="H58" s="4"/>
      <c r="I58" s="4"/>
      <c r="J58" s="104"/>
      <c r="K58" s="2"/>
      <c r="L58" s="2"/>
    </row>
    <row r="59" spans="2:12" ht="20.25">
      <c r="B59" s="3"/>
      <c r="C59" s="2"/>
      <c r="D59" s="2"/>
      <c r="E59" s="4"/>
      <c r="F59" s="4"/>
      <c r="G59" s="4"/>
      <c r="H59" s="4"/>
      <c r="I59" s="4"/>
      <c r="J59" s="104"/>
      <c r="K59" s="2"/>
      <c r="L59" s="2"/>
    </row>
    <row r="60" spans="2:12" ht="20.25">
      <c r="B60" s="2"/>
      <c r="C60" s="105"/>
      <c r="D60" s="105"/>
      <c r="E60" s="4"/>
      <c r="F60" s="4"/>
      <c r="G60" s="4"/>
      <c r="H60" s="4"/>
      <c r="I60" s="4"/>
      <c r="J60" s="104"/>
      <c r="K60" s="2"/>
      <c r="L60" s="2"/>
    </row>
    <row r="61" spans="2:12" ht="20.25">
      <c r="B61" s="2"/>
      <c r="C61" s="2"/>
      <c r="D61" s="2"/>
      <c r="E61" s="4"/>
      <c r="F61" s="4"/>
      <c r="G61" s="4"/>
      <c r="H61" s="4"/>
      <c r="I61" s="4"/>
      <c r="J61" s="104"/>
      <c r="K61" s="2"/>
      <c r="L61" s="2"/>
    </row>
    <row r="62" spans="2:12" ht="20.25">
      <c r="B62" s="2"/>
      <c r="C62" s="2"/>
      <c r="D62" s="2"/>
      <c r="E62" s="4"/>
      <c r="F62" s="4"/>
      <c r="G62" s="4"/>
      <c r="H62" s="4"/>
      <c r="I62" s="4"/>
      <c r="J62" s="104"/>
      <c r="K62" s="2"/>
      <c r="L62" s="2"/>
    </row>
    <row r="63" spans="2:12" ht="20.25">
      <c r="B63" s="2"/>
      <c r="C63" s="2"/>
      <c r="D63" s="2"/>
      <c r="E63" s="4"/>
      <c r="F63" s="4"/>
      <c r="G63" s="4"/>
      <c r="H63" s="4"/>
      <c r="I63" s="4"/>
      <c r="J63" s="104"/>
      <c r="K63" s="2"/>
      <c r="L63" s="2"/>
    </row>
    <row r="64" spans="2:12" ht="20.25">
      <c r="B64" s="2"/>
      <c r="C64" s="2"/>
      <c r="D64" s="2"/>
      <c r="E64" s="4"/>
      <c r="F64" s="4"/>
      <c r="G64" s="4"/>
      <c r="H64" s="4"/>
      <c r="I64" s="4"/>
      <c r="J64" s="104"/>
      <c r="K64" s="2"/>
      <c r="L64" s="2"/>
    </row>
    <row r="65" spans="2:12" ht="20.25">
      <c r="B65" s="2"/>
      <c r="C65" s="2"/>
      <c r="D65" s="2"/>
      <c r="E65" s="4"/>
      <c r="F65" s="4"/>
      <c r="G65" s="4"/>
      <c r="H65" s="4"/>
      <c r="I65" s="4"/>
      <c r="J65" s="104"/>
      <c r="K65" s="2"/>
      <c r="L65" s="2"/>
    </row>
    <row r="66" spans="2:12" ht="20.25">
      <c r="B66" s="2"/>
      <c r="C66" s="2"/>
      <c r="D66" s="2"/>
      <c r="E66" s="4"/>
      <c r="F66" s="4"/>
      <c r="G66" s="4"/>
      <c r="H66" s="4"/>
      <c r="I66" s="4"/>
      <c r="J66" s="104"/>
      <c r="K66" s="2"/>
      <c r="L66" s="2"/>
    </row>
    <row r="67" spans="2:12" ht="20.25">
      <c r="B67" s="2"/>
      <c r="C67" s="2"/>
      <c r="D67" s="2"/>
      <c r="E67" s="4"/>
      <c r="F67" s="4"/>
      <c r="G67" s="4"/>
      <c r="H67" s="4"/>
      <c r="I67" s="4"/>
      <c r="J67" s="104"/>
      <c r="K67" s="2"/>
      <c r="L67" s="2"/>
    </row>
    <row r="68" spans="2:12" ht="20.25">
      <c r="B68" s="2"/>
      <c r="C68" s="2"/>
      <c r="D68" s="2"/>
      <c r="E68" s="4"/>
      <c r="F68" s="4"/>
      <c r="G68" s="4"/>
      <c r="H68" s="4"/>
      <c r="I68" s="4"/>
      <c r="J68" s="104"/>
      <c r="K68" s="2"/>
      <c r="L68" s="2"/>
    </row>
    <row r="69" spans="2:12" ht="20.25">
      <c r="B69" s="2"/>
      <c r="C69" s="2"/>
      <c r="D69" s="2"/>
      <c r="E69" s="4"/>
      <c r="F69" s="4"/>
      <c r="G69" s="4"/>
      <c r="H69" s="4"/>
      <c r="I69" s="4"/>
      <c r="J69" s="104"/>
      <c r="K69" s="2"/>
      <c r="L69" s="2"/>
    </row>
    <row r="70" spans="2:12" ht="20.25">
      <c r="B70" s="2"/>
      <c r="C70" s="2"/>
      <c r="D70" s="2"/>
      <c r="E70" s="4"/>
      <c r="F70" s="4"/>
      <c r="G70" s="4"/>
      <c r="H70" s="4"/>
      <c r="I70" s="4"/>
      <c r="J70" s="104"/>
      <c r="K70" s="2"/>
      <c r="L70" s="2"/>
    </row>
    <row r="71" spans="2:12" ht="20.25">
      <c r="B71" s="2"/>
      <c r="C71" s="2"/>
      <c r="D71" s="2"/>
      <c r="E71" s="4"/>
      <c r="F71" s="4"/>
      <c r="G71" s="4"/>
      <c r="H71" s="4"/>
      <c r="I71" s="4"/>
      <c r="J71" s="104"/>
      <c r="K71" s="2"/>
      <c r="L71" s="2"/>
    </row>
    <row r="72" spans="2:12" ht="20.25">
      <c r="B72" s="2"/>
      <c r="C72" s="2"/>
      <c r="D72" s="2"/>
      <c r="E72" s="4"/>
      <c r="F72" s="4"/>
      <c r="G72" s="4"/>
      <c r="H72" s="4"/>
      <c r="I72" s="4"/>
      <c r="J72" s="104"/>
      <c r="K72" s="2"/>
      <c r="L72" s="2"/>
    </row>
    <row r="73" spans="2:12" ht="20.25">
      <c r="B73" s="2"/>
      <c r="C73" s="2"/>
      <c r="D73" s="2"/>
      <c r="E73" s="4"/>
      <c r="F73" s="4"/>
      <c r="G73" s="4"/>
      <c r="H73" s="4"/>
      <c r="I73" s="4"/>
      <c r="J73" s="104"/>
      <c r="K73" s="2"/>
      <c r="L73" s="2"/>
    </row>
    <row r="74" spans="2:12" ht="20.25">
      <c r="B74" s="2"/>
      <c r="C74" s="4"/>
      <c r="D74" s="4"/>
      <c r="E74" s="4"/>
      <c r="F74" s="4"/>
      <c r="G74" s="4"/>
      <c r="H74" s="4"/>
      <c r="I74" s="4"/>
      <c r="J74" s="104"/>
      <c r="K74" s="2"/>
      <c r="L74" s="2"/>
    </row>
    <row r="75" spans="2:12" ht="20.25">
      <c r="B75" s="2"/>
      <c r="C75" s="2"/>
      <c r="D75" s="2"/>
      <c r="E75" s="4"/>
      <c r="F75" s="4"/>
      <c r="G75" s="4"/>
      <c r="H75" s="4"/>
      <c r="I75" s="4"/>
      <c r="J75" s="104"/>
      <c r="K75" s="2"/>
      <c r="L75" s="2"/>
    </row>
    <row r="76" spans="2:12" ht="20.25">
      <c r="B76" s="2"/>
      <c r="C76" s="4"/>
      <c r="D76" s="4"/>
      <c r="E76" s="4"/>
      <c r="F76" s="4"/>
      <c r="G76" s="4"/>
      <c r="H76" s="4"/>
      <c r="I76" s="4"/>
      <c r="J76" s="104"/>
      <c r="K76" s="2"/>
      <c r="L76" s="2"/>
    </row>
    <row r="77" spans="2:12" ht="20.25">
      <c r="B77" s="2"/>
      <c r="C77" s="2"/>
      <c r="D77" s="2"/>
      <c r="E77" s="4"/>
      <c r="F77" s="4"/>
      <c r="G77" s="4"/>
      <c r="H77" s="4"/>
      <c r="I77" s="4"/>
      <c r="J77" s="104"/>
      <c r="K77" s="2"/>
      <c r="L77" s="2"/>
    </row>
    <row r="78" spans="2:12" ht="20.25">
      <c r="B78" s="2"/>
      <c r="C78" s="2"/>
      <c r="D78" s="2"/>
      <c r="E78" s="4"/>
      <c r="F78" s="4"/>
      <c r="G78" s="4"/>
      <c r="H78" s="4"/>
      <c r="I78" s="4"/>
      <c r="J78" s="104"/>
      <c r="K78" s="2"/>
      <c r="L78" s="2"/>
    </row>
    <row r="79" spans="2:12" ht="20.25">
      <c r="B79" s="2"/>
      <c r="C79" s="2"/>
      <c r="D79" s="2"/>
      <c r="E79" s="4"/>
      <c r="F79" s="4"/>
      <c r="G79" s="4"/>
      <c r="H79" s="4"/>
      <c r="I79" s="4"/>
      <c r="J79" s="104"/>
      <c r="K79" s="2"/>
      <c r="L79" s="2"/>
    </row>
    <row r="80" spans="2:12" ht="20.25">
      <c r="B80" s="2"/>
      <c r="C80" s="2"/>
      <c r="D80" s="2"/>
      <c r="E80" s="4"/>
      <c r="F80" s="4"/>
      <c r="G80" s="4"/>
      <c r="H80" s="4"/>
      <c r="I80" s="4"/>
      <c r="J80" s="104"/>
      <c r="K80" s="2"/>
      <c r="L80" s="2"/>
    </row>
    <row r="81" spans="2:12" ht="20.25">
      <c r="B81" s="2"/>
      <c r="C81" s="2"/>
      <c r="D81" s="2"/>
      <c r="E81" s="4"/>
      <c r="F81" s="4"/>
      <c r="G81" s="4"/>
      <c r="H81" s="4"/>
      <c r="I81" s="4"/>
      <c r="J81" s="104"/>
      <c r="K81" s="2"/>
      <c r="L81" s="2"/>
    </row>
    <row r="82" spans="2:12" ht="20.25">
      <c r="B82" s="2"/>
      <c r="C82" s="2"/>
      <c r="D82" s="2"/>
      <c r="E82" s="4"/>
      <c r="F82" s="4"/>
      <c r="G82" s="4"/>
      <c r="H82" s="4"/>
      <c r="I82" s="4"/>
      <c r="J82" s="104"/>
      <c r="K82" s="2"/>
      <c r="L82" s="2"/>
    </row>
    <row r="83" spans="2:12" ht="20.25">
      <c r="B83" s="2"/>
      <c r="C83" s="2"/>
      <c r="D83" s="2"/>
      <c r="E83" s="4"/>
      <c r="F83" s="4"/>
      <c r="G83" s="4"/>
      <c r="H83" s="4"/>
      <c r="I83" s="4"/>
      <c r="J83" s="104"/>
      <c r="K83" s="2"/>
      <c r="L83" s="2"/>
    </row>
    <row r="84" spans="2:12" ht="20.25">
      <c r="B84" s="2"/>
      <c r="C84" s="2"/>
      <c r="D84" s="2"/>
      <c r="E84" s="4"/>
      <c r="F84" s="4"/>
      <c r="G84" s="4"/>
      <c r="H84" s="4"/>
      <c r="I84" s="4"/>
      <c r="J84" s="104"/>
      <c r="K84" s="2"/>
      <c r="L84" s="2"/>
    </row>
    <row r="93" spans="3:4" ht="15">
      <c r="C93" s="10"/>
      <c r="D93" s="10"/>
    </row>
    <row r="96" spans="3:5" ht="15">
      <c r="C96" s="107"/>
      <c r="D96" s="107"/>
      <c r="E96" s="23"/>
    </row>
    <row r="97" spans="3:5" ht="15">
      <c r="C97" s="23"/>
      <c r="D97" s="23"/>
      <c r="E97" s="23"/>
    </row>
    <row r="98" spans="3:5" ht="15">
      <c r="C98" s="107"/>
      <c r="D98" s="107"/>
      <c r="E98" s="23"/>
    </row>
  </sheetData>
  <sheetProtection/>
  <printOptions horizontalCentered="1" verticalCentered="1"/>
  <pageMargins left="0.15748031496062992" right="0.7480314960629921" top="0.2755905511811024" bottom="0.5118110236220472" header="0.15748031496062992" footer="1.6535433070866143"/>
  <pageSetup fitToHeight="10"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M49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39" sqref="O39"/>
    </sheetView>
  </sheetViews>
  <sheetFormatPr defaultColWidth="11.421875" defaultRowHeight="12.75"/>
  <cols>
    <col min="1" max="1" width="19.421875" style="1" customWidth="1"/>
    <col min="2" max="2" width="43.28125" style="1" customWidth="1"/>
    <col min="3" max="3" width="29.421875" style="9" customWidth="1"/>
    <col min="4" max="4" width="28.00390625" style="9" customWidth="1"/>
    <col min="5" max="5" width="21.7109375" style="9" customWidth="1"/>
    <col min="6" max="6" width="20.8515625" style="144" customWidth="1"/>
    <col min="7" max="7" width="22.421875" style="1" customWidth="1"/>
    <col min="8" max="9" width="21.28125" style="1" hidden="1" customWidth="1"/>
    <col min="10" max="10" width="19.57421875" style="9" hidden="1" customWidth="1"/>
    <col min="11" max="11" width="18.140625" style="9" hidden="1" customWidth="1"/>
    <col min="12" max="12" width="16.7109375" style="9" hidden="1" customWidth="1"/>
    <col min="13" max="13" width="11.8515625" style="1" customWidth="1"/>
    <col min="14" max="14" width="11.421875" style="1" customWidth="1"/>
    <col min="15" max="15" width="14.421875" style="77" customWidth="1"/>
    <col min="16" max="16384" width="11.421875" style="1" customWidth="1"/>
  </cols>
  <sheetData>
    <row r="1" ht="12.75">
      <c r="B1" s="1" t="s">
        <v>45</v>
      </c>
    </row>
    <row r="2" ht="12.75">
      <c r="B2" s="1" t="s">
        <v>155</v>
      </c>
    </row>
    <row r="3" spans="2:12" ht="12.75">
      <c r="B3" s="14" t="s">
        <v>160</v>
      </c>
      <c r="C3" s="12"/>
      <c r="D3" s="12"/>
      <c r="E3" s="12"/>
      <c r="F3" s="145"/>
      <c r="G3" s="14"/>
      <c r="H3" s="14"/>
      <c r="I3" s="14"/>
      <c r="J3" s="12"/>
      <c r="K3" s="12"/>
      <c r="L3" s="12"/>
    </row>
    <row r="4" ht="12.75">
      <c r="B4" s="1" t="s">
        <v>28</v>
      </c>
    </row>
    <row r="5" ht="13.5" thickBot="1"/>
    <row r="6" spans="1:13" ht="13.5" thickBot="1">
      <c r="A6" s="71"/>
      <c r="B6" s="43" t="s">
        <v>4</v>
      </c>
      <c r="C6" s="56">
        <v>2016</v>
      </c>
      <c r="D6" s="56">
        <v>2015</v>
      </c>
      <c r="E6" s="56">
        <v>2014</v>
      </c>
      <c r="F6" s="56">
        <v>2013</v>
      </c>
      <c r="G6" s="56">
        <v>2012</v>
      </c>
      <c r="H6" s="56">
        <v>2011</v>
      </c>
      <c r="I6" s="56">
        <v>2010</v>
      </c>
      <c r="J6" s="56">
        <v>2009</v>
      </c>
      <c r="K6" s="56">
        <v>2008</v>
      </c>
      <c r="L6" s="126">
        <v>2007</v>
      </c>
      <c r="M6" s="12"/>
    </row>
    <row r="7" spans="1:12" ht="12.75">
      <c r="A7" s="72"/>
      <c r="B7" s="44" t="s">
        <v>29</v>
      </c>
      <c r="C7" s="112"/>
      <c r="D7" s="112"/>
      <c r="E7" s="112"/>
      <c r="F7" s="146"/>
      <c r="G7" s="44"/>
      <c r="H7" s="44"/>
      <c r="I7" s="44"/>
      <c r="J7" s="112"/>
      <c r="K7" s="112"/>
      <c r="L7" s="112"/>
    </row>
    <row r="8" spans="1:12" ht="13.5" thickBot="1">
      <c r="A8" s="72"/>
      <c r="B8" s="45" t="s">
        <v>37</v>
      </c>
      <c r="C8" s="113"/>
      <c r="D8" s="113"/>
      <c r="E8" s="113"/>
      <c r="F8" s="147"/>
      <c r="G8" s="45"/>
      <c r="H8" s="45"/>
      <c r="I8" s="45"/>
      <c r="J8" s="113"/>
      <c r="K8" s="113"/>
      <c r="L8" s="113"/>
    </row>
    <row r="9" spans="1:13" ht="13.5" thickBot="1">
      <c r="A9" s="73"/>
      <c r="B9" s="43" t="s">
        <v>38</v>
      </c>
      <c r="C9" s="111">
        <f aca="true" t="shared" si="0" ref="C9:I9">+C12+C23</f>
        <v>189311.17996999997</v>
      </c>
      <c r="D9" s="111">
        <f t="shared" si="0"/>
        <v>210144.37798000002</v>
      </c>
      <c r="E9" s="111">
        <f t="shared" si="0"/>
        <v>165954.27275</v>
      </c>
      <c r="F9" s="111">
        <f t="shared" si="0"/>
        <v>187299.70776999998</v>
      </c>
      <c r="G9" s="111">
        <f t="shared" si="0"/>
        <v>169084.56133</v>
      </c>
      <c r="H9" s="111">
        <f t="shared" si="0"/>
        <v>115028.85143000001</v>
      </c>
      <c r="I9" s="111">
        <f t="shared" si="0"/>
        <v>131373.71975</v>
      </c>
      <c r="J9" s="111">
        <v>95495.47356</v>
      </c>
      <c r="K9" s="117">
        <v>49052.09</v>
      </c>
      <c r="L9" s="57">
        <v>83950.98</v>
      </c>
      <c r="M9" s="46"/>
    </row>
    <row r="10" spans="1:12" ht="12.75">
      <c r="A10" s="74" t="s">
        <v>98</v>
      </c>
      <c r="B10" s="38" t="s">
        <v>49</v>
      </c>
      <c r="C10" s="114"/>
      <c r="D10" s="114"/>
      <c r="E10" s="114"/>
      <c r="F10" s="148"/>
      <c r="G10" s="38"/>
      <c r="H10" s="38"/>
      <c r="I10" s="38"/>
      <c r="J10" s="114"/>
      <c r="K10" s="114"/>
      <c r="L10" s="114"/>
    </row>
    <row r="11" spans="1:12" ht="12.75">
      <c r="A11" s="72" t="s">
        <v>99</v>
      </c>
      <c r="B11" s="48" t="s">
        <v>131</v>
      </c>
      <c r="C11" s="110"/>
      <c r="D11" s="110"/>
      <c r="E11" s="110"/>
      <c r="F11" s="149"/>
      <c r="G11" s="48"/>
      <c r="H11" s="48"/>
      <c r="I11" s="48"/>
      <c r="J11" s="110"/>
      <c r="K11" s="110"/>
      <c r="L11" s="127"/>
    </row>
    <row r="12" spans="1:12" ht="12.75">
      <c r="A12" s="78" t="s">
        <v>129</v>
      </c>
      <c r="B12" s="79" t="s">
        <v>130</v>
      </c>
      <c r="C12" s="171">
        <f>+'COMPARATIVO INGRESOS(si)ANE (2'!I13</f>
        <v>154640.64941999997</v>
      </c>
      <c r="D12" s="171">
        <v>174472.2748</v>
      </c>
      <c r="E12" s="173">
        <f>135203269.6/1000</f>
        <v>135203.2696</v>
      </c>
      <c r="F12" s="150">
        <v>152237.92541</v>
      </c>
      <c r="G12" s="52">
        <v>144498.83386</v>
      </c>
      <c r="H12" s="52">
        <v>90310.98565</v>
      </c>
      <c r="I12" s="52">
        <f>112384413.59/1000</f>
        <v>112384.41359</v>
      </c>
      <c r="J12" s="52">
        <v>95495.47356</v>
      </c>
      <c r="K12" s="125">
        <v>49052.09</v>
      </c>
      <c r="L12" s="125">
        <v>83950.98</v>
      </c>
    </row>
    <row r="13" spans="1:12" ht="13.5" thickBot="1">
      <c r="A13" s="72"/>
      <c r="B13" s="38"/>
      <c r="C13" s="114"/>
      <c r="D13" s="114"/>
      <c r="E13" s="114"/>
      <c r="F13" s="148"/>
      <c r="G13" s="38"/>
      <c r="H13" s="38"/>
      <c r="I13" s="38"/>
      <c r="J13" s="114"/>
      <c r="K13" s="114"/>
      <c r="L13" s="47"/>
    </row>
    <row r="14" spans="1:12" ht="13.5" hidden="1" thickBot="1">
      <c r="A14" s="72"/>
      <c r="B14" s="38" t="s">
        <v>51</v>
      </c>
      <c r="C14" s="114"/>
      <c r="D14" s="114"/>
      <c r="E14" s="114"/>
      <c r="F14" s="148"/>
      <c r="G14" s="38"/>
      <c r="H14" s="38"/>
      <c r="I14" s="38"/>
      <c r="J14" s="114"/>
      <c r="K14" s="114"/>
      <c r="L14" s="47"/>
    </row>
    <row r="15" spans="1:12" ht="13.5" hidden="1" thickBot="1">
      <c r="A15" s="72"/>
      <c r="B15" s="38" t="s">
        <v>52</v>
      </c>
      <c r="C15" s="114"/>
      <c r="D15" s="114"/>
      <c r="E15" s="114"/>
      <c r="F15" s="148"/>
      <c r="G15" s="38"/>
      <c r="H15" s="38"/>
      <c r="I15" s="38"/>
      <c r="J15" s="114"/>
      <c r="K15" s="114"/>
      <c r="L15" s="47"/>
    </row>
    <row r="16" spans="1:12" ht="13.5" hidden="1" thickBot="1">
      <c r="A16" s="72"/>
      <c r="B16" s="38" t="s">
        <v>50</v>
      </c>
      <c r="C16" s="114"/>
      <c r="D16" s="114"/>
      <c r="E16" s="114"/>
      <c r="F16" s="148"/>
      <c r="G16" s="38"/>
      <c r="H16" s="38"/>
      <c r="I16" s="38"/>
      <c r="J16" s="114"/>
      <c r="K16" s="114"/>
      <c r="L16" s="47"/>
    </row>
    <row r="17" spans="1:12" ht="13.5" hidden="1" thickBot="1">
      <c r="A17" s="72"/>
      <c r="B17" s="48"/>
      <c r="C17" s="110"/>
      <c r="D17" s="110"/>
      <c r="E17" s="110"/>
      <c r="F17" s="149"/>
      <c r="G17" s="48"/>
      <c r="H17" s="48"/>
      <c r="I17" s="48"/>
      <c r="J17" s="110"/>
      <c r="K17" s="110"/>
      <c r="L17" s="47"/>
    </row>
    <row r="18" spans="1:12" ht="13.5" hidden="1" thickBot="1">
      <c r="A18" s="72" t="s">
        <v>100</v>
      </c>
      <c r="B18" s="48" t="s">
        <v>53</v>
      </c>
      <c r="C18" s="110"/>
      <c r="D18" s="110"/>
      <c r="E18" s="110"/>
      <c r="F18" s="149"/>
      <c r="G18" s="48"/>
      <c r="H18" s="48"/>
      <c r="I18" s="48"/>
      <c r="J18" s="110"/>
      <c r="K18" s="110"/>
      <c r="L18" s="47"/>
    </row>
    <row r="19" spans="1:12" ht="13.5" hidden="1" thickBot="1">
      <c r="A19" s="72"/>
      <c r="B19" s="49" t="s">
        <v>54</v>
      </c>
      <c r="C19" s="115"/>
      <c r="D19" s="115"/>
      <c r="E19" s="115"/>
      <c r="F19" s="151"/>
      <c r="G19" s="49"/>
      <c r="H19" s="49"/>
      <c r="I19" s="49"/>
      <c r="J19" s="115"/>
      <c r="K19" s="115"/>
      <c r="L19" s="115"/>
    </row>
    <row r="20" spans="1:12" ht="13.5" hidden="1" thickBot="1">
      <c r="A20" s="72"/>
      <c r="B20" s="50" t="s">
        <v>56</v>
      </c>
      <c r="C20" s="116"/>
      <c r="D20" s="116"/>
      <c r="E20" s="116"/>
      <c r="F20" s="152"/>
      <c r="G20" s="50"/>
      <c r="H20" s="50"/>
      <c r="I20" s="50"/>
      <c r="J20" s="116"/>
      <c r="K20" s="116"/>
      <c r="L20" s="47"/>
    </row>
    <row r="21" spans="1:12" ht="13.5" hidden="1" thickBot="1">
      <c r="A21" s="72"/>
      <c r="B21" s="50" t="s">
        <v>55</v>
      </c>
      <c r="C21" s="116"/>
      <c r="D21" s="116"/>
      <c r="E21" s="116"/>
      <c r="F21" s="152"/>
      <c r="G21" s="50"/>
      <c r="H21" s="50"/>
      <c r="I21" s="50"/>
      <c r="J21" s="116"/>
      <c r="K21" s="116"/>
      <c r="L21" s="47"/>
    </row>
    <row r="22" spans="1:12" ht="13.5" hidden="1" thickBot="1">
      <c r="A22" s="72"/>
      <c r="B22" s="48"/>
      <c r="C22" s="110"/>
      <c r="D22" s="110"/>
      <c r="E22" s="110"/>
      <c r="F22" s="149"/>
      <c r="G22" s="48"/>
      <c r="H22" s="48"/>
      <c r="I22" s="48"/>
      <c r="J22" s="110"/>
      <c r="K22" s="110"/>
      <c r="L22" s="47"/>
    </row>
    <row r="23" spans="1:13" ht="26.25" thickBot="1">
      <c r="A23" s="75" t="s">
        <v>101</v>
      </c>
      <c r="B23" s="49" t="s">
        <v>102</v>
      </c>
      <c r="C23" s="111">
        <f aca="true" t="shared" si="1" ref="C23:I23">+C24</f>
        <v>34670.530549999996</v>
      </c>
      <c r="D23" s="111">
        <f t="shared" si="1"/>
        <v>35672.10318</v>
      </c>
      <c r="E23" s="111">
        <f t="shared" si="1"/>
        <v>30751.003149999997</v>
      </c>
      <c r="F23" s="111">
        <f t="shared" si="1"/>
        <v>35061.78236</v>
      </c>
      <c r="G23" s="111">
        <f t="shared" si="1"/>
        <v>24585.727469999998</v>
      </c>
      <c r="H23" s="111">
        <f t="shared" si="1"/>
        <v>24717.86578</v>
      </c>
      <c r="I23" s="111">
        <f t="shared" si="1"/>
        <v>18989.30616</v>
      </c>
      <c r="J23" s="111">
        <v>22144.62825</v>
      </c>
      <c r="K23" s="117">
        <v>24948.53</v>
      </c>
      <c r="L23" s="111">
        <v>26143.76118</v>
      </c>
      <c r="M23" s="16"/>
    </row>
    <row r="24" spans="1:12" ht="25.5">
      <c r="A24" s="75" t="s">
        <v>103</v>
      </c>
      <c r="B24" s="51" t="s">
        <v>104</v>
      </c>
      <c r="C24" s="171">
        <f>+'COMPARATIVO INGRESOS(si)ANE (2'!I25</f>
        <v>34670.530549999996</v>
      </c>
      <c r="D24" s="177">
        <v>35672.10318</v>
      </c>
      <c r="E24" s="174">
        <f>30751003.15/1000</f>
        <v>30751.003149999997</v>
      </c>
      <c r="F24" s="153">
        <v>35061.78236</v>
      </c>
      <c r="G24" s="47">
        <v>24585.727469999998</v>
      </c>
      <c r="H24" s="47">
        <v>24717.86578</v>
      </c>
      <c r="I24" s="47">
        <f>18989306.16/1000</f>
        <v>18989.30616</v>
      </c>
      <c r="J24" s="47">
        <v>22144.62825</v>
      </c>
      <c r="K24" s="47">
        <v>24948.53</v>
      </c>
      <c r="L24" s="47">
        <v>26143.76118</v>
      </c>
    </row>
    <row r="25" spans="1:12" ht="13.5" thickBot="1">
      <c r="A25" s="72"/>
      <c r="B25" s="48"/>
      <c r="C25" s="110"/>
      <c r="D25" s="110"/>
      <c r="E25" s="110"/>
      <c r="F25" s="149"/>
      <c r="G25" s="48"/>
      <c r="H25" s="48"/>
      <c r="I25" s="48"/>
      <c r="J25" s="110"/>
      <c r="K25" s="110"/>
      <c r="L25" s="47"/>
    </row>
    <row r="26" spans="1:13" ht="13.5" thickBot="1">
      <c r="A26" s="73" t="s">
        <v>105</v>
      </c>
      <c r="B26" s="53" t="s">
        <v>39</v>
      </c>
      <c r="C26" s="109">
        <f aca="true" t="shared" si="2" ref="C26:I26">+C28</f>
        <v>19078.13754</v>
      </c>
      <c r="D26" s="109">
        <f t="shared" si="2"/>
        <v>9825.104140000001</v>
      </c>
      <c r="E26" s="109">
        <f t="shared" si="2"/>
        <v>15954.58639</v>
      </c>
      <c r="F26" s="109">
        <f t="shared" si="2"/>
        <v>15725.908730000001</v>
      </c>
      <c r="G26" s="109">
        <f t="shared" si="2"/>
        <v>3297.65097</v>
      </c>
      <c r="H26" s="109">
        <f t="shared" si="2"/>
        <v>1204.59766</v>
      </c>
      <c r="I26" s="109">
        <f t="shared" si="2"/>
        <v>3224.93933</v>
      </c>
      <c r="J26" s="109">
        <v>5749.718980000001</v>
      </c>
      <c r="K26" s="109">
        <v>1866.18</v>
      </c>
      <c r="L26" s="109">
        <v>3001.53539</v>
      </c>
      <c r="M26" s="16"/>
    </row>
    <row r="27" spans="1:12" ht="12.75">
      <c r="A27" s="75" t="s">
        <v>106</v>
      </c>
      <c r="B27" s="48" t="s">
        <v>57</v>
      </c>
      <c r="C27" s="171"/>
      <c r="D27" s="110"/>
      <c r="E27" s="110"/>
      <c r="F27" s="149"/>
      <c r="G27" s="47"/>
      <c r="H27" s="48"/>
      <c r="I27" s="48"/>
      <c r="J27" s="110"/>
      <c r="K27" s="110"/>
      <c r="L27" s="47">
        <v>1170.19135</v>
      </c>
    </row>
    <row r="28" spans="1:12" ht="12.75">
      <c r="A28" s="75" t="s">
        <v>107</v>
      </c>
      <c r="B28" s="54" t="s">
        <v>58</v>
      </c>
      <c r="C28" s="171">
        <f>+'COMPARATIVO INGRESOS(si)ANE (2'!I31</f>
        <v>19078.13754</v>
      </c>
      <c r="D28" s="47">
        <v>9825.104140000001</v>
      </c>
      <c r="E28" s="120">
        <f>15954586.39/1000</f>
        <v>15954.58639</v>
      </c>
      <c r="F28" s="148">
        <v>15725.908730000001</v>
      </c>
      <c r="G28" s="47">
        <v>3297.65097</v>
      </c>
      <c r="H28" s="47">
        <v>1204.59766</v>
      </c>
      <c r="I28" s="47">
        <f>3224939.33/1000</f>
        <v>3224.93933</v>
      </c>
      <c r="J28" s="47">
        <v>5749.718980000001</v>
      </c>
      <c r="K28" s="47">
        <v>1866.18</v>
      </c>
      <c r="L28" s="47">
        <v>1831.34404</v>
      </c>
    </row>
    <row r="29" spans="1:12" ht="13.5" thickBot="1">
      <c r="A29" s="72"/>
      <c r="B29" s="48"/>
      <c r="C29" s="110"/>
      <c r="D29" s="110"/>
      <c r="E29" s="110"/>
      <c r="F29" s="149"/>
      <c r="G29" s="48"/>
      <c r="H29" s="48"/>
      <c r="I29" s="48"/>
      <c r="J29" s="110"/>
      <c r="K29" s="110"/>
      <c r="L29" s="47"/>
    </row>
    <row r="30" spans="1:13" ht="13.5" thickBot="1">
      <c r="A30" s="73" t="s">
        <v>109</v>
      </c>
      <c r="B30" s="53" t="s">
        <v>108</v>
      </c>
      <c r="C30" s="109">
        <f aca="true" t="shared" si="3" ref="C30:I30">+C31+C32</f>
        <v>3231244.9980800003</v>
      </c>
      <c r="D30" s="109">
        <f t="shared" si="3"/>
        <v>3251129.79536516</v>
      </c>
      <c r="E30" s="109">
        <f t="shared" si="3"/>
        <v>4265450.15513</v>
      </c>
      <c r="F30" s="109">
        <f t="shared" si="3"/>
        <v>3179432.49297</v>
      </c>
      <c r="G30" s="109">
        <f t="shared" si="3"/>
        <v>2688944.67832</v>
      </c>
      <c r="H30" s="118">
        <f t="shared" si="3"/>
        <v>3916862.73009</v>
      </c>
      <c r="I30" s="118">
        <f t="shared" si="3"/>
        <v>5237259.26611</v>
      </c>
      <c r="J30" s="118">
        <v>3514704.97544</v>
      </c>
      <c r="K30" s="118">
        <v>2844470.92</v>
      </c>
      <c r="L30" s="128">
        <v>1413894.48997</v>
      </c>
      <c r="M30" s="16"/>
    </row>
    <row r="31" spans="1:12" ht="12.75">
      <c r="A31" s="75" t="s">
        <v>110</v>
      </c>
      <c r="B31" s="80" t="s">
        <v>59</v>
      </c>
      <c r="C31" s="171">
        <f>+'COMPARATIVO INGRESOS(si)ANE (2'!I35</f>
        <v>3108417.56</v>
      </c>
      <c r="D31" s="171">
        <v>3251000</v>
      </c>
      <c r="E31" s="171">
        <f>4183933178.68/1000</f>
        <v>4183933.17868</v>
      </c>
      <c r="F31" s="171">
        <v>3104698.134</v>
      </c>
      <c r="G31" s="171">
        <v>2604323</v>
      </c>
      <c r="H31" s="119">
        <v>3863655.54</v>
      </c>
      <c r="I31" s="119">
        <f>5181645550/1000</f>
        <v>5181645.55</v>
      </c>
      <c r="J31" s="119">
        <v>3467033.208</v>
      </c>
      <c r="K31" s="119">
        <v>2768979.53</v>
      </c>
      <c r="L31" s="119">
        <v>1369006.636</v>
      </c>
    </row>
    <row r="32" spans="1:12" ht="26.25" thickBot="1">
      <c r="A32" s="75" t="s">
        <v>111</v>
      </c>
      <c r="B32" s="182" t="s">
        <v>112</v>
      </c>
      <c r="C32" s="171">
        <f>+'COMPARATIVO INGRESOS(si)ANE (2'!I38</f>
        <v>122827.43807999999</v>
      </c>
      <c r="D32" s="171">
        <v>129.79536516</v>
      </c>
      <c r="E32" s="171">
        <f>81516976.45/1000</f>
        <v>81516.97645</v>
      </c>
      <c r="F32" s="171">
        <v>74734.35897</v>
      </c>
      <c r="G32" s="171">
        <v>84621.67831999999</v>
      </c>
      <c r="H32" s="119">
        <v>53207.190090000004</v>
      </c>
      <c r="I32" s="120">
        <f>55613716.11/1000</f>
        <v>55613.71611</v>
      </c>
      <c r="J32" s="120">
        <v>47671.767439999996</v>
      </c>
      <c r="K32" s="120">
        <v>75491.39</v>
      </c>
      <c r="L32" s="120">
        <v>44887.85397</v>
      </c>
    </row>
    <row r="33" spans="1:12" ht="26.25" hidden="1" thickBot="1">
      <c r="A33" s="72"/>
      <c r="B33" s="55" t="s">
        <v>60</v>
      </c>
      <c r="C33" s="121"/>
      <c r="D33" s="121"/>
      <c r="E33" s="121"/>
      <c r="F33" s="154"/>
      <c r="G33" s="55"/>
      <c r="H33" s="55"/>
      <c r="I33" s="55"/>
      <c r="J33" s="121"/>
      <c r="K33" s="121"/>
      <c r="L33" s="47"/>
    </row>
    <row r="34" spans="1:12" ht="13.5" hidden="1" thickBot="1">
      <c r="A34" s="72"/>
      <c r="B34" s="54" t="s">
        <v>61</v>
      </c>
      <c r="C34" s="114"/>
      <c r="D34" s="114"/>
      <c r="E34" s="114"/>
      <c r="F34" s="148"/>
      <c r="G34" s="38"/>
      <c r="H34" s="38"/>
      <c r="I34" s="38"/>
      <c r="J34" s="114"/>
      <c r="K34" s="114"/>
      <c r="L34" s="47"/>
    </row>
    <row r="35" spans="1:12" ht="13.5" hidden="1" thickBot="1">
      <c r="A35" s="72"/>
      <c r="B35" s="48" t="s">
        <v>62</v>
      </c>
      <c r="C35" s="110"/>
      <c r="D35" s="110"/>
      <c r="E35" s="110"/>
      <c r="F35" s="149"/>
      <c r="G35" s="48"/>
      <c r="H35" s="48"/>
      <c r="I35" s="48"/>
      <c r="J35" s="110"/>
      <c r="K35" s="110"/>
      <c r="L35" s="47"/>
    </row>
    <row r="36" spans="1:12" ht="13.5" hidden="1" thickBot="1">
      <c r="A36" s="72"/>
      <c r="B36" s="54" t="s">
        <v>63</v>
      </c>
      <c r="C36" s="114"/>
      <c r="D36" s="114"/>
      <c r="E36" s="114"/>
      <c r="F36" s="148"/>
      <c r="G36" s="38"/>
      <c r="H36" s="38"/>
      <c r="I36" s="38"/>
      <c r="J36" s="114"/>
      <c r="K36" s="114"/>
      <c r="L36" s="47"/>
    </row>
    <row r="37" spans="1:12" ht="13.5" hidden="1" thickBot="1">
      <c r="A37" s="72"/>
      <c r="B37" s="54" t="s">
        <v>64</v>
      </c>
      <c r="C37" s="114"/>
      <c r="D37" s="114"/>
      <c r="E37" s="114"/>
      <c r="F37" s="148"/>
      <c r="G37" s="38"/>
      <c r="H37" s="38"/>
      <c r="I37" s="38"/>
      <c r="J37" s="114"/>
      <c r="K37" s="114"/>
      <c r="L37" s="47"/>
    </row>
    <row r="38" spans="1:12" ht="13.5" hidden="1" thickBot="1">
      <c r="A38" s="72"/>
      <c r="B38" s="48"/>
      <c r="C38" s="110"/>
      <c r="D38" s="110"/>
      <c r="E38" s="110"/>
      <c r="F38" s="149"/>
      <c r="G38" s="48"/>
      <c r="H38" s="48"/>
      <c r="I38" s="48"/>
      <c r="J38" s="110"/>
      <c r="K38" s="110"/>
      <c r="L38" s="47"/>
    </row>
    <row r="39" spans="1:13" ht="13.5" thickBot="1">
      <c r="A39" s="73"/>
      <c r="B39" s="81" t="s">
        <v>41</v>
      </c>
      <c r="C39" s="122">
        <f aca="true" t="shared" si="4" ref="C39:I39">+C41</f>
        <v>0</v>
      </c>
      <c r="D39" s="122">
        <f t="shared" si="4"/>
        <v>0</v>
      </c>
      <c r="E39" s="122">
        <f t="shared" si="4"/>
        <v>0</v>
      </c>
      <c r="F39" s="122">
        <f t="shared" si="4"/>
        <v>0</v>
      </c>
      <c r="G39" s="122">
        <f t="shared" si="4"/>
        <v>0</v>
      </c>
      <c r="H39" s="122">
        <f t="shared" si="4"/>
        <v>0</v>
      </c>
      <c r="I39" s="122">
        <f t="shared" si="4"/>
        <v>0</v>
      </c>
      <c r="J39" s="122">
        <v>0</v>
      </c>
      <c r="K39" s="122">
        <v>0</v>
      </c>
      <c r="L39" s="122">
        <v>0</v>
      </c>
      <c r="M39" s="1" t="s">
        <v>96</v>
      </c>
    </row>
    <row r="40" spans="1:12" ht="12.75">
      <c r="A40" s="75" t="s">
        <v>110</v>
      </c>
      <c r="B40" s="80" t="s">
        <v>40</v>
      </c>
      <c r="C40" s="172"/>
      <c r="D40" s="172"/>
      <c r="E40" s="172"/>
      <c r="F40" s="155"/>
      <c r="G40" s="143"/>
      <c r="H40" s="123"/>
      <c r="I40" s="123"/>
      <c r="J40" s="123"/>
      <c r="K40" s="123"/>
      <c r="L40" s="129"/>
    </row>
    <row r="41" spans="1:12" ht="25.5">
      <c r="A41" s="75" t="s">
        <v>111</v>
      </c>
      <c r="B41" s="182" t="s">
        <v>113</v>
      </c>
      <c r="C41" s="169"/>
      <c r="D41" s="169"/>
      <c r="E41" s="169"/>
      <c r="F41" s="183">
        <v>0</v>
      </c>
      <c r="G41" s="186"/>
      <c r="H41" s="185"/>
      <c r="I41" s="124"/>
      <c r="J41" s="124"/>
      <c r="K41" s="124"/>
      <c r="L41" s="47"/>
    </row>
    <row r="42" spans="1:12" ht="13.5" thickBot="1">
      <c r="A42" s="72"/>
      <c r="B42" s="54"/>
      <c r="C42" s="114"/>
      <c r="D42" s="114"/>
      <c r="E42" s="114"/>
      <c r="F42" s="148"/>
      <c r="G42" s="38"/>
      <c r="H42" s="38"/>
      <c r="I42" s="38"/>
      <c r="J42" s="114"/>
      <c r="K42" s="114"/>
      <c r="L42" s="47"/>
    </row>
    <row r="43" spans="1:12" ht="26.25" hidden="1" thickBot="1">
      <c r="A43" s="72"/>
      <c r="B43" s="50" t="s">
        <v>48</v>
      </c>
      <c r="C43" s="116"/>
      <c r="D43" s="116"/>
      <c r="E43" s="116"/>
      <c r="F43" s="152"/>
      <c r="G43" s="50"/>
      <c r="H43" s="50"/>
      <c r="I43" s="50"/>
      <c r="J43" s="116"/>
      <c r="K43" s="116"/>
      <c r="L43" s="47"/>
    </row>
    <row r="44" spans="1:12" ht="13.5" hidden="1" thickBot="1">
      <c r="A44" s="72"/>
      <c r="B44" s="48"/>
      <c r="C44" s="110"/>
      <c r="D44" s="110"/>
      <c r="E44" s="110"/>
      <c r="F44" s="149"/>
      <c r="G44" s="48"/>
      <c r="H44" s="48"/>
      <c r="I44" s="48"/>
      <c r="J44" s="110"/>
      <c r="K44" s="110"/>
      <c r="L44" s="47"/>
    </row>
    <row r="45" spans="1:13" ht="13.5" thickBot="1">
      <c r="A45" s="73" t="s">
        <v>114</v>
      </c>
      <c r="B45" s="159" t="s">
        <v>42</v>
      </c>
      <c r="C45" s="109">
        <f>+C46</f>
        <v>2552819.226</v>
      </c>
      <c r="D45" s="109">
        <f>+D46</f>
        <v>2326000</v>
      </c>
      <c r="E45" s="109">
        <f>+E46</f>
        <v>1616885.64686</v>
      </c>
      <c r="F45" s="109">
        <f>+F46</f>
        <v>690112.159</v>
      </c>
      <c r="G45" s="109">
        <f>+G46+G47</f>
        <v>1734369.53894</v>
      </c>
      <c r="H45" s="158">
        <f>+H46+H47</f>
        <v>3229795.3370000003</v>
      </c>
      <c r="I45" s="163">
        <f>+I46+I47</f>
        <v>667367.4242499999</v>
      </c>
      <c r="J45" s="168">
        <v>0</v>
      </c>
      <c r="K45" s="122">
        <v>0</v>
      </c>
      <c r="L45" s="115">
        <v>0</v>
      </c>
      <c r="M45" s="16"/>
    </row>
    <row r="46" spans="1:12" ht="12.75">
      <c r="A46" s="75" t="s">
        <v>115</v>
      </c>
      <c r="B46" s="160" t="s">
        <v>118</v>
      </c>
      <c r="C46" s="171">
        <f>+'COMPARATIVO INGRESOS(si)ANE (2'!I55</f>
        <v>2552819.226</v>
      </c>
      <c r="D46" s="171">
        <v>2326000</v>
      </c>
      <c r="E46" s="171">
        <f>1616885646.86/1000</f>
        <v>1616885.64686</v>
      </c>
      <c r="F46" s="171">
        <f>690112159/1000</f>
        <v>690112.159</v>
      </c>
      <c r="G46" s="171">
        <f>411903429.71/1000</f>
        <v>411903.42971</v>
      </c>
      <c r="H46" s="156">
        <f>2417981109.35/1000</f>
        <v>2417981.10935</v>
      </c>
      <c r="I46" s="164">
        <f>474790460.07/1000</f>
        <v>474790.46007</v>
      </c>
      <c r="J46" s="169">
        <v>0</v>
      </c>
      <c r="K46" s="165"/>
      <c r="L46" s="47"/>
    </row>
    <row r="47" spans="1:12" ht="15.75" thickBot="1">
      <c r="A47" s="75" t="s">
        <v>116</v>
      </c>
      <c r="B47" s="161" t="s">
        <v>117</v>
      </c>
      <c r="C47" s="172"/>
      <c r="D47" s="172"/>
      <c r="E47" s="176"/>
      <c r="F47" s="162"/>
      <c r="G47" s="184">
        <f>1322466109.23/1000</f>
        <v>1322466.10923</v>
      </c>
      <c r="H47" s="157">
        <f>811814227.65/1000</f>
        <v>811814.22765</v>
      </c>
      <c r="I47" s="164">
        <f>192576964.18/1000</f>
        <v>192576.96418</v>
      </c>
      <c r="J47" s="170">
        <v>0</v>
      </c>
      <c r="K47" s="166"/>
      <c r="L47" s="47"/>
    </row>
    <row r="48" spans="1:13" ht="13.5" thickBot="1">
      <c r="A48" s="76"/>
      <c r="B48" s="178" t="s">
        <v>36</v>
      </c>
      <c r="C48" s="109">
        <f>+C9+C30+C26+C46</f>
        <v>5992453.54159</v>
      </c>
      <c r="D48" s="109">
        <f>+D9+D30+D26+D46</f>
        <v>5797099.27748516</v>
      </c>
      <c r="E48" s="109">
        <f>+E9+E30+E26+E46</f>
        <v>6064244.66113</v>
      </c>
      <c r="F48" s="109">
        <f>+F9+F30+F26+F46</f>
        <v>4072570.26847</v>
      </c>
      <c r="G48" s="109">
        <f>+G9+G30+G26+G45</f>
        <v>4595696.42956</v>
      </c>
      <c r="H48" s="134">
        <f>+H9+H30+H26+H45</f>
        <v>7262891.51618</v>
      </c>
      <c r="I48" s="134">
        <f>+I9+I30+I26+I45</f>
        <v>6039225.349440001</v>
      </c>
      <c r="J48" s="167">
        <v>3638094.79623</v>
      </c>
      <c r="K48" s="57">
        <v>2920337.7199999997</v>
      </c>
      <c r="L48" s="57">
        <v>1526990.76654</v>
      </c>
      <c r="M48" s="58"/>
    </row>
    <row r="49" ht="12.75">
      <c r="E49" s="175"/>
    </row>
  </sheetData>
  <sheetProtection/>
  <printOptions horizontalCentered="1" verticalCentered="1"/>
  <pageMargins left="0.7874015748031497" right="0.7874015748031497" top="0.4724409448818898" bottom="1.0236220472440944" header="0" footer="1.1811023622047245"/>
  <pageSetup fitToHeight="10" fitToWidth="1" horizontalDpi="600" verticalDpi="600" orientation="landscape" scale="66" r:id="rId1"/>
  <colBreaks count="1" manualBreakCount="1">
    <brk id="1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EISA</dc:creator>
  <cp:keywords/>
  <dc:description/>
  <cp:lastModifiedBy>Usuario</cp:lastModifiedBy>
  <cp:lastPrinted>2017-09-27T16:35:16Z</cp:lastPrinted>
  <dcterms:created xsi:type="dcterms:W3CDTF">1997-09-24T22:09:30Z</dcterms:created>
  <dcterms:modified xsi:type="dcterms:W3CDTF">2018-09-20T23:23:11Z</dcterms:modified>
  <cp:category/>
  <cp:version/>
  <cp:contentType/>
  <cp:contentStatus/>
</cp:coreProperties>
</file>